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Z:\Services\Finance\0991\Formula Rate Filings\2021 2022 Filing\2-Annual Updates\Rate Filing\Final\"/>
    </mc:Choice>
  </mc:AlternateContent>
  <xr:revisionPtr revIDLastSave="0" documentId="13_ncr:1_{E00133D0-68EA-4F8B-9D3D-4B9AA8D725EF}" xr6:coauthVersionLast="45" xr6:coauthVersionMax="45" xr10:uidLastSave="{00000000-0000-0000-0000-000000000000}"/>
  <bookViews>
    <workbookView xWindow="-120" yWindow="-120" windowWidth="24240" windowHeight="13140" tabRatio="934" activeTab="2" xr2:uid="{00000000-000D-0000-FFFF-FFFF00000000}"/>
  </bookViews>
  <sheets>
    <sheet name="ATT H-9A" sheetId="1" r:id="rId1"/>
    <sheet name="1A - ADIT Summary" sheetId="41" r:id="rId2"/>
    <sheet name="1B - ADIT EOY" sheetId="42" r:id="rId3"/>
    <sheet name="1C - ADIT BOY" sheetId="43"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10" r:id="rId13"/>
    <sheet name="5b EBSC Affiliate Allocations" sheetId="31"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15">#REF!</definedName>
    <definedName name="\0" localSheetId="16">#REF!</definedName>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H-9A'!$A$1:$H$385</definedName>
    <definedName name="_gas2">#REF!</definedName>
    <definedName name="_gas2006">#REF!</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15" hidden="1">{#N/A,#N/A,FALSE,"EMPPAY"}</definedName>
    <definedName name="A" localSheetId="14" hidden="1">{#N/A,#N/A,FALSE,"EMPPAY"}</definedName>
    <definedName name="A" localSheetId="19" hidden="1">{#N/A,#N/A,FALSE,"EMPPAY"}</definedName>
    <definedName name="A" localSheetId="20" hidden="1">{#N/A,#N/A,FALSE,"EMPPAY"}</definedName>
    <definedName name="A">#REF!</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21"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21"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21"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15">{"'Metretek HTML'!$A$7:$W$42"}</definedName>
    <definedName name="LK" localSheetId="16">{"'Metretek HTML'!$A$7:$W$42"}</definedName>
    <definedName name="LK">{"'Metretek HTML'!$A$7:$W$42"}</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Rates'!$A$1:$D$94</definedName>
    <definedName name="_xlnm.Print_Area" localSheetId="1">'1A - ADIT Summary'!$A$1:$S$213</definedName>
    <definedName name="_xlnm.Print_Area" localSheetId="9">'3 - Revenue Credits'!$A$1:$N$47</definedName>
    <definedName name="_xlnm.Print_Area" localSheetId="14">'6-Project Rev Req'!$A$1:$Q$116</definedName>
    <definedName name="_xlnm.Print_Area" localSheetId="17">'7 - Cap Add WS'!$A$1:$BW$78</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15">{"'Metretek HTML'!$A$7:$W$42"}</definedName>
    <definedName name="qw" localSheetId="16">{"'Metretek HTML'!$A$7:$W$42"}</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15">#REF!</definedName>
    <definedName name="RunDateTime" localSheetId="16">#REF!</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21" hidden="1">{#N/A,#N/A,FALSE,"EMPPAY"}</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21"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21"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15">{"'Metretek HTML'!$A$7:$W$42"}</definedName>
    <definedName name="xls" localSheetId="16">{"'Metretek HTML'!$A$7:$W$42"}</definedName>
    <definedName name="xls">{"'Metretek HTML'!$A$7:$W$42"}</definedName>
    <definedName name="XO" localSheetId="15">{"'Metretek HTML'!$A$7:$W$42"}</definedName>
    <definedName name="XO" localSheetId="16">{"'Metretek HTML'!$A$7:$W$42"}</definedName>
    <definedName name="XO">{"'Metretek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15">{"'Metretek HTML'!$A$7:$W$42"}</definedName>
    <definedName name="xxxxxxx" localSheetId="16">{"'Metretek HTML'!$A$7:$W$42"}</definedName>
    <definedName name="xxxxxxx">{"'Metretek HTML'!$A$7:$W$42"}</definedName>
    <definedName name="XXXXXXXXXXXXXX" localSheetId="15">{"'Metretek HTML'!$A$7:$W$42"}</definedName>
    <definedName name="XXXXXXXXXXXXXX" localSheetId="16">{"'Metretek HTML'!$A$7:$W$42"}</definedName>
    <definedName name="XXXXXXXXXXXXXX">{"'Metretek HTML'!$A$7:$W$42"}</definedName>
    <definedName name="xy" localSheetId="15">{"'Metretek HTML'!$A$7:$W$42"}</definedName>
    <definedName name="xy" localSheetId="16">{"'Metretek HTML'!$A$7:$W$42"}</definedName>
    <definedName name="xy">{"'Metretek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function'!$B:$B,'Prop taxes to function'!$IV:$IV,'Prop taxes to function'!$IX:$IY,'Prop taxes to function'!$SR:$SR,'Prop taxes to function'!$ST:$SU,'Prop taxes to function'!$ACN:$ACN,'Prop taxes to function'!$ACP:$ACQ,'Prop taxes to function'!$AMJ:$AMJ,'Prop taxes to function'!$AML:$AMM,'Prop taxes to function'!$AWF:$AWF,'Prop taxes to function'!$AWH:$AWI,'Prop taxes to function'!$BGB:$BGB,'Prop taxes to function'!$BGD:$BGE,'Prop taxes to function'!$BPX:$BPX,'Prop taxes to function'!$BPZ:$BQA,'Prop taxes to function'!$BZT:$BZT,'Prop taxes to function'!$BZV:$BZW,'Prop taxes to function'!$CJP:$CJP,'Prop taxes to function'!$CJR:$CJS,'Prop taxes to function'!$CTL:$CTL,'Prop taxes to function'!$CTN:$CTO,'Prop taxes to function'!$DDH:$DDH,'Prop taxes to function'!$DDJ:$DDK,'Prop taxes to function'!$DND:$DND,'Prop taxes to function'!$DNF:$DNG,'Prop taxes to function'!$DWZ:$DWZ,'Prop taxes to function'!$DXB:$DXC,'Prop taxes to function'!$EGV:$EGV,'Prop taxes to function'!$EGX:$EGY,'Prop taxes to function'!$EQR:$EQR,'Prop taxes to function'!$EQT:$EQU,'Prop taxes to function'!$FAN:$FAN,'Prop taxes to function'!$FAP:$FAQ,'Prop taxes to function'!$FKJ:$FKJ,'Prop taxes to function'!$FKL:$FKM,'Prop taxes to function'!$FUF:$FUF,'Prop taxes to function'!$FUH:$FUI,'Prop taxes to function'!$GEB:$GEB,'Prop taxes to function'!$GED:$GEE,'Prop taxes to function'!$GNX:$GNX,'Prop taxes to function'!$GNZ:$GOA,'Prop taxes to function'!$GXT:$GXT,'Prop taxes to function'!$GXV:$GXW,'Prop taxes to function'!$HHP:$HHP,'Prop taxes to function'!$HHR:$HHS,'Prop taxes to function'!$HRL:$HRL,'Prop taxes to function'!$HRN:$HRO,'Prop taxes to function'!$IBH:$IBH,'Prop taxes to function'!$IBJ:$IBK,'Prop taxes to function'!$ILD:$ILD,'Prop taxes to function'!$ILF:$ILG,'Prop taxes to function'!$IUZ:$IUZ,'Prop taxes to function'!$IVB:$IVC,'Prop taxes to function'!$JEV:$JEV,'Prop taxes to function'!$JEX:$JEY,'Prop taxes to function'!$JOR:$JOR,'Prop taxes to function'!$JOT:$JOU,'Prop taxes to function'!$JYN:$JYN,'Prop taxes to function'!$JYP:$JYQ,'Prop taxes to function'!$KIJ:$KIJ,'Prop taxes to function'!$KIL:$KIM,'Prop taxes to function'!$KSF:$KSF,'Prop taxes to function'!$KSH:$KSI,'Prop taxes to function'!$LCB:$LCB,'Prop taxes to function'!$LCD:$LCE,'Prop taxes to function'!$LLX:$LLX,'Prop taxes to function'!$LLZ:$LMA,'Prop taxes to function'!$LVT:$LVT,'Prop taxes to function'!$LVV:$LVW,'Prop taxes to function'!$MFP:$MFP,'Prop taxes to function'!$MFR:$MFS,'Prop taxes to function'!$MPL:$MPL,'Prop taxes to function'!$MPN:$MPO,'Prop taxes to function'!$MZH:$MZH,'Prop taxes to function'!$MZJ:$MZK,'Prop taxes to function'!$NJD:$NJD,'Prop taxes to function'!$NJF:$NJG,'Prop taxes to function'!$NSZ:$NSZ,'Prop taxes to function'!$NTB:$NTC,'Prop taxes to function'!$OCV:$OCV,'Prop taxes to function'!$OCX:$OCY,'Prop taxes to function'!$OMR:$OMR,'Prop taxes to function'!$OMT:$OMU,'Prop taxes to function'!$OWN:$OWN,'Prop taxes to function'!$OWP:$OWQ,'Prop taxes to function'!$PGJ:$PGJ,'Prop taxes to function'!$PGL:$PGM,'Prop taxes to function'!$PQF:$PQF,'Prop taxes to function'!$PQH:$PQI,'Prop taxes to function'!$QAB:$QAB,'Prop taxes to function'!$QAD:$QAE,'Prop taxes to function'!$QJX:$QJX,'Prop taxes to function'!$QJZ:$QKA,'Prop taxes to function'!$QTT:$QTT,'Prop taxes to function'!$QTV:$QTW,'Prop taxes to function'!$RDP:$RDP,'Prop taxes to function'!$RDR:$RDS,'Prop taxes to function'!$RNL:$RNL,'Prop taxes to function'!$RNN:$RNO,'Prop taxes to function'!$RXH:$RXH,'Prop taxes to function'!$RXJ:$RXK,'Prop taxes to function'!$SHD:$SHD,'Prop taxes to function'!$SHF:$SHG,'Prop taxes to function'!$SQZ:$SQZ,'Prop taxes to function'!$SRB:$SRC,'Prop taxes to function'!$TAV:$TAV,'Prop taxes to function'!$TAX:$TAY,'Prop taxes to function'!$TKR:$TKR,'Prop taxes to function'!$TKT:$TKU,'Prop taxes to function'!$TUN:$TUN,'Prop taxes to function'!$TUP:$TUQ,'Prop taxes to function'!$UEJ:$UEJ,'Prop taxes to function'!$UEL:$UEM,'Prop taxes to function'!$UOF:$UOF,'Prop taxes to function'!$UOH:$UOI,'Prop taxes to function'!$UYB:$UYB,'Prop taxes to function'!$UYD:$UYE,'Prop taxes to function'!$VHX:$VHX,'Prop taxes to function'!$VHZ:$VIA,'Prop taxes to function'!$VRT:$VRT,'Prop taxes to function'!$VRV:$VRW,'Prop taxes to function'!$WBP:$WBP,'Prop taxes to function'!$WBR:$WBS,'Prop taxes to function'!$WLL:$WLL,'Prop taxes to function'!$WLN:$WLO,'Prop taxes to function'!$WVH:$WVH,'Prop taxes to function'!$WVJ:$WVK</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0" i="42" l="1"/>
  <c r="R180" i="44" l="1"/>
  <c r="R176" i="44"/>
  <c r="Q391" i="45" l="1"/>
  <c r="Q390" i="45"/>
  <c r="Q389" i="45"/>
  <c r="Q388" i="45"/>
  <c r="Q365" i="45"/>
  <c r="Q354" i="45"/>
  <c r="Q329" i="45"/>
  <c r="Q294" i="45"/>
  <c r="Q293" i="45"/>
  <c r="Q292" i="45"/>
  <c r="Q291" i="45"/>
  <c r="Q285" i="45"/>
  <c r="Q284" i="45"/>
  <c r="Q283" i="45"/>
  <c r="Q282" i="45"/>
  <c r="Q231" i="45"/>
  <c r="Q230" i="45"/>
  <c r="Q229" i="45"/>
  <c r="Q228" i="45"/>
  <c r="Q222" i="45"/>
  <c r="Q221" i="45"/>
  <c r="Q220" i="45"/>
  <c r="Q219" i="45"/>
  <c r="Q186" i="45"/>
  <c r="Q185" i="45"/>
  <c r="Q184" i="45"/>
  <c r="Q183" i="45"/>
  <c r="Q177" i="45"/>
  <c r="Q176" i="45"/>
  <c r="Q175" i="45"/>
  <c r="Q174" i="45"/>
  <c r="Q150" i="45"/>
  <c r="Q149" i="45"/>
  <c r="Q148" i="45"/>
  <c r="Q147" i="45"/>
  <c r="Q141" i="45"/>
  <c r="Q140" i="45"/>
  <c r="Q139" i="45"/>
  <c r="Q138" i="45"/>
  <c r="Q122" i="45"/>
  <c r="Q106" i="45"/>
  <c r="Q105" i="45"/>
  <c r="Q104" i="45"/>
  <c r="Q103" i="45"/>
  <c r="Q91" i="45"/>
  <c r="Q82" i="45"/>
  <c r="Q80" i="45"/>
  <c r="Q79" i="45"/>
  <c r="Q73" i="45"/>
  <c r="Q72" i="45"/>
  <c r="Q71" i="45"/>
  <c r="Q70" i="45"/>
  <c r="Q55" i="45"/>
  <c r="Q54" i="45"/>
  <c r="Q53" i="45"/>
  <c r="Q52" i="45"/>
  <c r="Q37" i="45"/>
  <c r="Q36" i="45"/>
  <c r="Q35" i="45"/>
  <c r="Q34" i="45"/>
  <c r="Q28" i="45"/>
  <c r="Q27" i="45"/>
  <c r="Q26" i="45"/>
  <c r="Q25" i="45"/>
  <c r="Q30" i="45" s="1"/>
  <c r="Q19" i="45"/>
  <c r="Q18" i="45"/>
  <c r="Q17" i="45"/>
  <c r="Q16" i="45"/>
  <c r="R147" i="44" l="1"/>
  <c r="R143" i="44"/>
  <c r="R100" i="44"/>
  <c r="R96" i="44"/>
  <c r="R67" i="44"/>
  <c r="R63" i="44"/>
  <c r="R47" i="44"/>
  <c r="R34" i="44"/>
  <c r="R30" i="44"/>
  <c r="R14" i="44"/>
  <c r="R131" i="41"/>
  <c r="R127" i="41"/>
  <c r="R94" i="41"/>
  <c r="R78" i="41"/>
  <c r="R32" i="41"/>
  <c r="R28" i="41"/>
  <c r="I250" i="9" l="1"/>
  <c r="D40" i="7" l="1"/>
  <c r="I21" i="33" l="1"/>
  <c r="G44" i="9"/>
  <c r="H150" i="1" l="1"/>
  <c r="I13" i="33"/>
  <c r="G13" i="33" s="1"/>
  <c r="E22" i="42"/>
  <c r="H207" i="1" l="1"/>
  <c r="E12" i="33" l="1"/>
  <c r="E14" i="33"/>
  <c r="E15" i="33"/>
  <c r="E16" i="33"/>
  <c r="E17" i="33"/>
  <c r="E18" i="33"/>
  <c r="E19" i="33"/>
  <c r="E20" i="33"/>
  <c r="E22" i="33"/>
  <c r="I147" i="42" l="1"/>
  <c r="I76" i="42"/>
  <c r="H243" i="9" l="1"/>
  <c r="H241" i="9"/>
  <c r="H239" i="9"/>
  <c r="I23" i="18" l="1"/>
  <c r="E305" i="42" l="1"/>
  <c r="E281" i="42"/>
  <c r="E38" i="42" l="1"/>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F67" i="42"/>
  <c r="G67" i="42"/>
  <c r="H67" i="42"/>
  <c r="I67" i="42"/>
  <c r="I70" i="42"/>
  <c r="I71" i="42"/>
  <c r="G136" i="43" l="1"/>
  <c r="F136" i="43"/>
  <c r="G243" i="9" l="1"/>
  <c r="T98" i="9" l="1"/>
  <c r="G107" i="9"/>
  <c r="H107" i="9"/>
  <c r="I107" i="9"/>
  <c r="J107" i="9"/>
  <c r="K107" i="9"/>
  <c r="L107" i="9"/>
  <c r="M107" i="9"/>
  <c r="N107" i="9"/>
  <c r="O107" i="9"/>
  <c r="P107" i="9"/>
  <c r="Q107" i="9"/>
  <c r="R107" i="9"/>
  <c r="S107" i="9"/>
  <c r="I71" i="9"/>
  <c r="I58" i="9"/>
  <c r="I23" i="9"/>
  <c r="I52" i="9"/>
  <c r="E27" i="5"/>
  <c r="E15" i="5"/>
  <c r="E14" i="5"/>
  <c r="F23" i="32" l="1"/>
  <c r="G21" i="33" l="1"/>
  <c r="E21" i="33" s="1"/>
  <c r="E13" i="33" l="1"/>
  <c r="E327" i="1" l="1"/>
  <c r="E299" i="1"/>
  <c r="E291" i="1"/>
  <c r="E256" i="1"/>
  <c r="E237" i="1"/>
  <c r="E162" i="1"/>
  <c r="E141" i="1"/>
  <c r="E125" i="1"/>
  <c r="C354" i="1"/>
  <c r="C353" i="1"/>
  <c r="C352" i="1"/>
  <c r="N83" i="12" l="1"/>
  <c r="N82" i="12"/>
  <c r="N81" i="12"/>
  <c r="N80" i="12"/>
  <c r="N79" i="12"/>
  <c r="N77" i="12"/>
  <c r="N76" i="12"/>
  <c r="N73" i="12"/>
  <c r="N72" i="12"/>
  <c r="N71" i="12"/>
  <c r="N70" i="12"/>
  <c r="M83" i="12" l="1"/>
  <c r="K83" i="12"/>
  <c r="E83" i="12"/>
  <c r="M82" i="12"/>
  <c r="K82" i="12"/>
  <c r="E82" i="12"/>
  <c r="M81" i="12"/>
  <c r="K81" i="12"/>
  <c r="E81" i="12"/>
  <c r="M80" i="12"/>
  <c r="K80" i="12"/>
  <c r="E80" i="12"/>
  <c r="M79" i="12"/>
  <c r="K79" i="12"/>
  <c r="E79" i="12"/>
  <c r="M78" i="12"/>
  <c r="K78" i="12"/>
  <c r="E78" i="12"/>
  <c r="M77" i="12"/>
  <c r="K77" i="12"/>
  <c r="E77" i="12"/>
  <c r="M76" i="12"/>
  <c r="K76" i="12"/>
  <c r="E76" i="12"/>
  <c r="M75" i="12"/>
  <c r="K75" i="12"/>
  <c r="E75" i="12"/>
  <c r="M74" i="12"/>
  <c r="K74" i="12"/>
  <c r="E74" i="12"/>
  <c r="M73" i="12"/>
  <c r="K73" i="12"/>
  <c r="E73" i="12"/>
  <c r="M72" i="12"/>
  <c r="K72" i="12"/>
  <c r="E72" i="12"/>
  <c r="M71" i="12"/>
  <c r="K71" i="12"/>
  <c r="E71" i="12"/>
  <c r="M70" i="12"/>
  <c r="K70" i="12"/>
  <c r="E70" i="12"/>
  <c r="M69" i="12"/>
  <c r="K69" i="12"/>
  <c r="E69" i="12"/>
  <c r="M68" i="12"/>
  <c r="K68" i="12"/>
  <c r="E68" i="12"/>
  <c r="M67" i="12"/>
  <c r="K67" i="12"/>
  <c r="E67" i="12"/>
  <c r="H265" i="1" l="1"/>
  <c r="D86" i="1"/>
  <c r="D87" i="1" s="1"/>
  <c r="D88" i="1" s="1"/>
  <c r="D89" i="1" s="1"/>
  <c r="D90" i="1" s="1"/>
  <c r="L118" i="46"/>
  <c r="V116" i="46"/>
  <c r="T116" i="46"/>
  <c r="N116" i="46"/>
  <c r="L116" i="46"/>
  <c r="H116" i="46"/>
  <c r="F116" i="46"/>
  <c r="P115" i="46"/>
  <c r="O115" i="46"/>
  <c r="M115" i="46"/>
  <c r="I115" i="46"/>
  <c r="G115" i="46"/>
  <c r="P114" i="46"/>
  <c r="O114" i="46"/>
  <c r="M114" i="46"/>
  <c r="J114" i="46"/>
  <c r="R114" i="46" s="1"/>
  <c r="X114" i="46" s="1"/>
  <c r="AF114" i="46" s="1"/>
  <c r="I114" i="46"/>
  <c r="G114" i="46"/>
  <c r="O113" i="46"/>
  <c r="M113" i="46"/>
  <c r="P113" i="46" s="1"/>
  <c r="J113" i="46"/>
  <c r="R113" i="46" s="1"/>
  <c r="X113" i="46" s="1"/>
  <c r="AF113" i="46" s="1"/>
  <c r="I113" i="46"/>
  <c r="G113" i="46"/>
  <c r="O112" i="46"/>
  <c r="M112" i="46"/>
  <c r="I112" i="46"/>
  <c r="G112" i="46"/>
  <c r="J112" i="46" s="1"/>
  <c r="P111" i="46"/>
  <c r="O111" i="46"/>
  <c r="M111" i="46"/>
  <c r="I111" i="46"/>
  <c r="G111" i="46"/>
  <c r="J111" i="46" s="1"/>
  <c r="R111" i="46" s="1"/>
  <c r="X111" i="46" s="1"/>
  <c r="AF111" i="46" s="1"/>
  <c r="P110" i="46"/>
  <c r="O110" i="46"/>
  <c r="M110" i="46"/>
  <c r="J110" i="46"/>
  <c r="R110" i="46" s="1"/>
  <c r="X110" i="46" s="1"/>
  <c r="AF110" i="46" s="1"/>
  <c r="I110" i="46"/>
  <c r="G110" i="46"/>
  <c r="O109" i="46"/>
  <c r="M109" i="46"/>
  <c r="P109" i="46" s="1"/>
  <c r="J109" i="46"/>
  <c r="I109" i="46"/>
  <c r="G109" i="46"/>
  <c r="O108" i="46"/>
  <c r="M108" i="46"/>
  <c r="P108" i="46" s="1"/>
  <c r="I108" i="46"/>
  <c r="G108" i="46"/>
  <c r="J108" i="46" s="1"/>
  <c r="R108" i="46" s="1"/>
  <c r="X108" i="46" s="1"/>
  <c r="AF108" i="46" s="1"/>
  <c r="P107" i="46"/>
  <c r="O107" i="46"/>
  <c r="M107" i="46"/>
  <c r="I107" i="46"/>
  <c r="G107" i="46"/>
  <c r="P106" i="46"/>
  <c r="O106" i="46"/>
  <c r="M106" i="46"/>
  <c r="J106" i="46"/>
  <c r="R106" i="46" s="1"/>
  <c r="X106" i="46" s="1"/>
  <c r="AF106" i="46" s="1"/>
  <c r="I106" i="46"/>
  <c r="G106" i="46"/>
  <c r="O105" i="46"/>
  <c r="M105" i="46"/>
  <c r="P105" i="46" s="1"/>
  <c r="J105" i="46"/>
  <c r="R105" i="46" s="1"/>
  <c r="X105" i="46" s="1"/>
  <c r="AF105" i="46" s="1"/>
  <c r="I105" i="46"/>
  <c r="G105" i="46"/>
  <c r="O104" i="46"/>
  <c r="M104" i="46"/>
  <c r="I104" i="46"/>
  <c r="G104" i="46"/>
  <c r="J104" i="46" s="1"/>
  <c r="P103" i="46"/>
  <c r="O103" i="46"/>
  <c r="M103" i="46"/>
  <c r="I103" i="46"/>
  <c r="G103" i="46"/>
  <c r="J103" i="46" s="1"/>
  <c r="R103" i="46" s="1"/>
  <c r="X103" i="46" s="1"/>
  <c r="AF103" i="46" s="1"/>
  <c r="P102" i="46"/>
  <c r="O102" i="46"/>
  <c r="M102" i="46"/>
  <c r="J102" i="46"/>
  <c r="R102" i="46" s="1"/>
  <c r="X102" i="46" s="1"/>
  <c r="AF102" i="46" s="1"/>
  <c r="I102" i="46"/>
  <c r="G102" i="46"/>
  <c r="O101" i="46"/>
  <c r="M101" i="46"/>
  <c r="P101" i="46" s="1"/>
  <c r="J101" i="46"/>
  <c r="I101" i="46"/>
  <c r="G101" i="46"/>
  <c r="O100" i="46"/>
  <c r="M100" i="46"/>
  <c r="P100" i="46" s="1"/>
  <c r="I100" i="46"/>
  <c r="G100" i="46"/>
  <c r="J100" i="46" s="1"/>
  <c r="P99" i="46"/>
  <c r="O99" i="46"/>
  <c r="M99" i="46"/>
  <c r="I99" i="46"/>
  <c r="G99" i="46"/>
  <c r="P98" i="46"/>
  <c r="O98" i="46"/>
  <c r="M98" i="46"/>
  <c r="J98" i="46"/>
  <c r="R98" i="46" s="1"/>
  <c r="X98" i="46" s="1"/>
  <c r="AF98" i="46" s="1"/>
  <c r="I98" i="46"/>
  <c r="G98" i="46"/>
  <c r="O97" i="46"/>
  <c r="M97" i="46"/>
  <c r="P97" i="46" s="1"/>
  <c r="J97" i="46"/>
  <c r="R97" i="46" s="1"/>
  <c r="X97" i="46" s="1"/>
  <c r="AF97" i="46" s="1"/>
  <c r="I97" i="46"/>
  <c r="G97" i="46"/>
  <c r="O96" i="46"/>
  <c r="M96" i="46"/>
  <c r="I96" i="46"/>
  <c r="G96" i="46"/>
  <c r="J96" i="46" s="1"/>
  <c r="P95" i="46"/>
  <c r="O95" i="46"/>
  <c r="M95" i="46"/>
  <c r="M116" i="46" s="1"/>
  <c r="I95" i="46"/>
  <c r="G95" i="46"/>
  <c r="T92" i="46"/>
  <c r="N92" i="46"/>
  <c r="L92" i="46"/>
  <c r="H92" i="46"/>
  <c r="F92" i="46"/>
  <c r="P91" i="46"/>
  <c r="O91" i="46"/>
  <c r="M91" i="46"/>
  <c r="I91" i="46"/>
  <c r="G91" i="46"/>
  <c r="P90" i="46"/>
  <c r="O90" i="46"/>
  <c r="M90" i="46"/>
  <c r="J90" i="46"/>
  <c r="R90" i="46" s="1"/>
  <c r="X90" i="46" s="1"/>
  <c r="AF90" i="46" s="1"/>
  <c r="I90" i="46"/>
  <c r="G90" i="46"/>
  <c r="O89" i="46"/>
  <c r="M89" i="46"/>
  <c r="P89" i="46" s="1"/>
  <c r="J89" i="46"/>
  <c r="R89" i="46" s="1"/>
  <c r="X89" i="46" s="1"/>
  <c r="AF89" i="46" s="1"/>
  <c r="I89" i="46"/>
  <c r="G89" i="46"/>
  <c r="O88" i="46"/>
  <c r="M88" i="46"/>
  <c r="I88" i="46"/>
  <c r="G88" i="46"/>
  <c r="J88" i="46" s="1"/>
  <c r="P87" i="46"/>
  <c r="O87" i="46"/>
  <c r="M87" i="46"/>
  <c r="J87" i="46"/>
  <c r="R87" i="46" s="1"/>
  <c r="I87" i="46"/>
  <c r="G87" i="46"/>
  <c r="O86" i="46"/>
  <c r="M86" i="46"/>
  <c r="P86" i="46" s="1"/>
  <c r="J86" i="46"/>
  <c r="R86" i="46" s="1"/>
  <c r="X86" i="46" s="1"/>
  <c r="AF86" i="46" s="1"/>
  <c r="I86" i="46"/>
  <c r="G86" i="46"/>
  <c r="O85" i="46"/>
  <c r="M85" i="46"/>
  <c r="I85" i="46"/>
  <c r="G85" i="46"/>
  <c r="J85" i="46" s="1"/>
  <c r="P84" i="46"/>
  <c r="O84" i="46"/>
  <c r="M84" i="46"/>
  <c r="I84" i="46"/>
  <c r="G84" i="46"/>
  <c r="J84" i="46" s="1"/>
  <c r="R84" i="46" s="1"/>
  <c r="X84" i="46" s="1"/>
  <c r="AF84" i="46" s="1"/>
  <c r="P83" i="46"/>
  <c r="O83" i="46"/>
  <c r="M83" i="46"/>
  <c r="J83" i="46"/>
  <c r="R83" i="46" s="1"/>
  <c r="X83" i="46" s="1"/>
  <c r="AF83" i="46" s="1"/>
  <c r="I83" i="46"/>
  <c r="G83" i="46"/>
  <c r="O82" i="46"/>
  <c r="M82" i="46"/>
  <c r="P82" i="46" s="1"/>
  <c r="I82" i="46"/>
  <c r="G82" i="46"/>
  <c r="J82" i="46" s="1"/>
  <c r="R82" i="46" s="1"/>
  <c r="V82" i="46" s="1"/>
  <c r="P81" i="46"/>
  <c r="O81" i="46"/>
  <c r="M81" i="46"/>
  <c r="I81" i="46"/>
  <c r="G81" i="46"/>
  <c r="P80" i="46"/>
  <c r="O80" i="46"/>
  <c r="M80" i="46"/>
  <c r="J80" i="46"/>
  <c r="R80" i="46" s="1"/>
  <c r="X80" i="46" s="1"/>
  <c r="AF80" i="46" s="1"/>
  <c r="I80" i="46"/>
  <c r="G80" i="46"/>
  <c r="O79" i="46"/>
  <c r="O92" i="46" s="1"/>
  <c r="M79" i="46"/>
  <c r="I79" i="46"/>
  <c r="G79" i="46"/>
  <c r="J79" i="46" s="1"/>
  <c r="P78" i="46"/>
  <c r="O78" i="46"/>
  <c r="M78" i="46"/>
  <c r="I78" i="46"/>
  <c r="G78" i="46"/>
  <c r="J78" i="46" s="1"/>
  <c r="R78" i="46" s="1"/>
  <c r="X78" i="46" s="1"/>
  <c r="AF78" i="46" s="1"/>
  <c r="P77" i="46"/>
  <c r="O77" i="46"/>
  <c r="M77" i="46"/>
  <c r="J77" i="46"/>
  <c r="R77" i="46" s="1"/>
  <c r="X77" i="46" s="1"/>
  <c r="I77" i="46"/>
  <c r="G77" i="46"/>
  <c r="O76" i="46"/>
  <c r="M76" i="46"/>
  <c r="J76" i="46"/>
  <c r="I76" i="46"/>
  <c r="G76" i="46"/>
  <c r="V72" i="46"/>
  <c r="T72" i="46"/>
  <c r="T118" i="46" s="1"/>
  <c r="N72" i="46"/>
  <c r="N118" i="46" s="1"/>
  <c r="L72" i="46"/>
  <c r="H72" i="46"/>
  <c r="H118" i="46" s="1"/>
  <c r="F72" i="46"/>
  <c r="F118" i="46" s="1"/>
  <c r="O71" i="46"/>
  <c r="M71" i="46"/>
  <c r="P71" i="46" s="1"/>
  <c r="J71" i="46"/>
  <c r="R71" i="46" s="1"/>
  <c r="X71" i="46" s="1"/>
  <c r="AF71" i="46" s="1"/>
  <c r="I71" i="46"/>
  <c r="G71" i="46"/>
  <c r="O70" i="46"/>
  <c r="M70" i="46"/>
  <c r="I70" i="46"/>
  <c r="G70" i="46"/>
  <c r="J70" i="46" s="1"/>
  <c r="P69" i="46"/>
  <c r="O69" i="46"/>
  <c r="M69" i="46"/>
  <c r="I69" i="46"/>
  <c r="G69" i="46"/>
  <c r="J69" i="46" s="1"/>
  <c r="R69" i="46" s="1"/>
  <c r="X69" i="46" s="1"/>
  <c r="AF69" i="46" s="1"/>
  <c r="P68" i="46"/>
  <c r="O68" i="46"/>
  <c r="M68" i="46"/>
  <c r="I68" i="46"/>
  <c r="J68" i="46" s="1"/>
  <c r="R68" i="46" s="1"/>
  <c r="X68" i="46" s="1"/>
  <c r="AF68" i="46" s="1"/>
  <c r="G68" i="46"/>
  <c r="X67" i="46"/>
  <c r="AF67" i="46" s="1"/>
  <c r="O67" i="46"/>
  <c r="M67" i="46"/>
  <c r="P67" i="46" s="1"/>
  <c r="J67" i="46"/>
  <c r="R67" i="46" s="1"/>
  <c r="I67" i="46"/>
  <c r="G67" i="46"/>
  <c r="O66" i="46"/>
  <c r="M66" i="46"/>
  <c r="P66" i="46" s="1"/>
  <c r="I66" i="46"/>
  <c r="G66" i="46"/>
  <c r="J66" i="46" s="1"/>
  <c r="R66" i="46" s="1"/>
  <c r="X66" i="46" s="1"/>
  <c r="P65" i="46"/>
  <c r="O65" i="46"/>
  <c r="M65" i="46"/>
  <c r="I65" i="46"/>
  <c r="G65" i="46"/>
  <c r="J65" i="46" s="1"/>
  <c r="R65" i="46" s="1"/>
  <c r="X65" i="46" s="1"/>
  <c r="AF65" i="46" s="1"/>
  <c r="P64" i="46"/>
  <c r="O64" i="46"/>
  <c r="M64" i="46"/>
  <c r="I64" i="46"/>
  <c r="J64" i="46" s="1"/>
  <c r="G64" i="46"/>
  <c r="O63" i="46"/>
  <c r="M63" i="46"/>
  <c r="P63" i="46" s="1"/>
  <c r="J63" i="46"/>
  <c r="R63" i="46" s="1"/>
  <c r="X63" i="46" s="1"/>
  <c r="AF63" i="46" s="1"/>
  <c r="I63" i="46"/>
  <c r="G63" i="46"/>
  <c r="O62" i="46"/>
  <c r="M62" i="46"/>
  <c r="P62" i="46" s="1"/>
  <c r="I62" i="46"/>
  <c r="G62" i="46"/>
  <c r="J62" i="46" s="1"/>
  <c r="P61" i="46"/>
  <c r="O61" i="46"/>
  <c r="M61" i="46"/>
  <c r="I61" i="46"/>
  <c r="G61" i="46"/>
  <c r="J61" i="46" s="1"/>
  <c r="R61" i="46" s="1"/>
  <c r="X61" i="46" s="1"/>
  <c r="AF61" i="46" s="1"/>
  <c r="P60" i="46"/>
  <c r="O60" i="46"/>
  <c r="M60" i="46"/>
  <c r="I60" i="46"/>
  <c r="J60" i="46" s="1"/>
  <c r="R60" i="46" s="1"/>
  <c r="X60" i="46" s="1"/>
  <c r="AF60" i="46" s="1"/>
  <c r="G60" i="46"/>
  <c r="O59" i="46"/>
  <c r="M59" i="46"/>
  <c r="P59" i="46" s="1"/>
  <c r="J59" i="46"/>
  <c r="R59" i="46" s="1"/>
  <c r="X59" i="46" s="1"/>
  <c r="AF59" i="46" s="1"/>
  <c r="I59" i="46"/>
  <c r="G59" i="46"/>
  <c r="O58" i="46"/>
  <c r="M58" i="46"/>
  <c r="P58" i="46" s="1"/>
  <c r="I58" i="46"/>
  <c r="G58" i="46"/>
  <c r="J58" i="46" s="1"/>
  <c r="R58" i="46" s="1"/>
  <c r="X58" i="46" s="1"/>
  <c r="AF58" i="46" s="1"/>
  <c r="P57" i="46"/>
  <c r="O57" i="46"/>
  <c r="M57" i="46"/>
  <c r="I57" i="46"/>
  <c r="G57" i="46"/>
  <c r="J57" i="46" s="1"/>
  <c r="R57" i="46" s="1"/>
  <c r="X57" i="46" s="1"/>
  <c r="AF57" i="46" s="1"/>
  <c r="P56" i="46"/>
  <c r="O56" i="46"/>
  <c r="M56" i="46"/>
  <c r="I56" i="46"/>
  <c r="J56" i="46" s="1"/>
  <c r="R56" i="46" s="1"/>
  <c r="X56" i="46" s="1"/>
  <c r="AF56" i="46" s="1"/>
  <c r="G56" i="46"/>
  <c r="O55" i="46"/>
  <c r="M55" i="46"/>
  <c r="P55" i="46" s="1"/>
  <c r="J55" i="46"/>
  <c r="R55" i="46" s="1"/>
  <c r="X55" i="46" s="1"/>
  <c r="AF55" i="46" s="1"/>
  <c r="I55" i="46"/>
  <c r="G55" i="46"/>
  <c r="O54" i="46"/>
  <c r="M54" i="46"/>
  <c r="I54" i="46"/>
  <c r="G54" i="46"/>
  <c r="J54" i="46" s="1"/>
  <c r="O53" i="46"/>
  <c r="M53" i="46"/>
  <c r="I53" i="46"/>
  <c r="G53" i="46"/>
  <c r="J53" i="46" s="1"/>
  <c r="P52" i="46"/>
  <c r="O52" i="46"/>
  <c r="M52" i="46"/>
  <c r="I52" i="46"/>
  <c r="G52" i="46"/>
  <c r="J52" i="46" s="1"/>
  <c r="R52" i="46" s="1"/>
  <c r="X52" i="46" s="1"/>
  <c r="AF52" i="46" s="1"/>
  <c r="O51" i="46"/>
  <c r="P51" i="46" s="1"/>
  <c r="M51" i="46"/>
  <c r="J51" i="46"/>
  <c r="R51" i="46" s="1"/>
  <c r="X51" i="46" s="1"/>
  <c r="AF51" i="46" s="1"/>
  <c r="I51" i="46"/>
  <c r="G51" i="46"/>
  <c r="O50" i="46"/>
  <c r="M50" i="46"/>
  <c r="P50" i="46" s="1"/>
  <c r="I50" i="46"/>
  <c r="J50" i="46" s="1"/>
  <c r="G50" i="46"/>
  <c r="O49" i="46"/>
  <c r="M49" i="46"/>
  <c r="I49" i="46"/>
  <c r="G49" i="46"/>
  <c r="J49" i="46" s="1"/>
  <c r="P48" i="46"/>
  <c r="O48" i="46"/>
  <c r="M48" i="46"/>
  <c r="I48" i="46"/>
  <c r="G48" i="46"/>
  <c r="O47" i="46"/>
  <c r="P47" i="46" s="1"/>
  <c r="M47" i="46"/>
  <c r="J47" i="46"/>
  <c r="R47" i="46" s="1"/>
  <c r="X47" i="46" s="1"/>
  <c r="AF47" i="46" s="1"/>
  <c r="I47" i="46"/>
  <c r="G47" i="46"/>
  <c r="X46" i="46"/>
  <c r="AF46" i="46" s="1"/>
  <c r="O46" i="46"/>
  <c r="M46" i="46"/>
  <c r="P46" i="46" s="1"/>
  <c r="I46" i="46"/>
  <c r="J46" i="46" s="1"/>
  <c r="R46" i="46" s="1"/>
  <c r="G46" i="46"/>
  <c r="O45" i="46"/>
  <c r="M45" i="46"/>
  <c r="P45" i="46" s="1"/>
  <c r="I45" i="46"/>
  <c r="G45" i="46"/>
  <c r="J45" i="46" s="1"/>
  <c r="R45" i="46" s="1"/>
  <c r="X45" i="46" s="1"/>
  <c r="AF45" i="46" s="1"/>
  <c r="P44" i="46"/>
  <c r="O44" i="46"/>
  <c r="M44" i="46"/>
  <c r="I44" i="46"/>
  <c r="G44" i="46"/>
  <c r="O43" i="46"/>
  <c r="M43" i="46"/>
  <c r="P43" i="46" s="1"/>
  <c r="R43" i="46" s="1"/>
  <c r="X43" i="46" s="1"/>
  <c r="AF43" i="46" s="1"/>
  <c r="J43" i="46"/>
  <c r="I43" i="46"/>
  <c r="G43" i="46"/>
  <c r="O42" i="46"/>
  <c r="M42" i="46"/>
  <c r="P42" i="46" s="1"/>
  <c r="I42" i="46"/>
  <c r="G42" i="46"/>
  <c r="J42" i="46" s="1"/>
  <c r="R42" i="46" s="1"/>
  <c r="X42" i="46" s="1"/>
  <c r="AF42" i="46" s="1"/>
  <c r="O41" i="46"/>
  <c r="M41" i="46"/>
  <c r="P41" i="46" s="1"/>
  <c r="I41" i="46"/>
  <c r="G41" i="46"/>
  <c r="J41" i="46" s="1"/>
  <c r="P40" i="46"/>
  <c r="O40" i="46"/>
  <c r="M40" i="46"/>
  <c r="I40" i="46"/>
  <c r="G40" i="46"/>
  <c r="J40" i="46" s="1"/>
  <c r="R40" i="46" s="1"/>
  <c r="X40" i="46" s="1"/>
  <c r="AF40" i="46" s="1"/>
  <c r="R39" i="46"/>
  <c r="X39" i="46" s="1"/>
  <c r="AF39" i="46" s="1"/>
  <c r="O39" i="46"/>
  <c r="P39" i="46" s="1"/>
  <c r="M39" i="46"/>
  <c r="J39" i="46"/>
  <c r="I39" i="46"/>
  <c r="G39" i="46"/>
  <c r="O38" i="46"/>
  <c r="M38" i="46"/>
  <c r="P38" i="46" s="1"/>
  <c r="I38" i="46"/>
  <c r="J38" i="46" s="1"/>
  <c r="G38" i="46"/>
  <c r="O37" i="46"/>
  <c r="M37" i="46"/>
  <c r="I37" i="46"/>
  <c r="G37" i="46"/>
  <c r="J37" i="46" s="1"/>
  <c r="P36" i="46"/>
  <c r="O36" i="46"/>
  <c r="M36" i="46"/>
  <c r="I36" i="46"/>
  <c r="G36" i="46"/>
  <c r="J36" i="46" s="1"/>
  <c r="R36" i="46" s="1"/>
  <c r="X36" i="46" s="1"/>
  <c r="AF36" i="46" s="1"/>
  <c r="O35" i="46"/>
  <c r="M35" i="46"/>
  <c r="P35" i="46" s="1"/>
  <c r="J35" i="46"/>
  <c r="R35" i="46" s="1"/>
  <c r="X35" i="46" s="1"/>
  <c r="AF35" i="46" s="1"/>
  <c r="I35" i="46"/>
  <c r="G35" i="46"/>
  <c r="O34" i="46"/>
  <c r="M34" i="46"/>
  <c r="P34" i="46" s="1"/>
  <c r="I34" i="46"/>
  <c r="G34" i="46"/>
  <c r="J34" i="46" s="1"/>
  <c r="O33" i="46"/>
  <c r="M33" i="46"/>
  <c r="I33" i="46"/>
  <c r="G33" i="46"/>
  <c r="J33" i="46" s="1"/>
  <c r="P32" i="46"/>
  <c r="O32" i="46"/>
  <c r="M32" i="46"/>
  <c r="I32" i="46"/>
  <c r="G32" i="46"/>
  <c r="O31" i="46"/>
  <c r="P31" i="46" s="1"/>
  <c r="M31" i="46"/>
  <c r="J31" i="46"/>
  <c r="R31" i="46" s="1"/>
  <c r="X31" i="46" s="1"/>
  <c r="AF31" i="46" s="1"/>
  <c r="I31" i="46"/>
  <c r="G31" i="46"/>
  <c r="X30" i="46"/>
  <c r="AF30" i="46" s="1"/>
  <c r="O30" i="46"/>
  <c r="M30" i="46"/>
  <c r="P30" i="46" s="1"/>
  <c r="I30" i="46"/>
  <c r="J30" i="46" s="1"/>
  <c r="R30" i="46" s="1"/>
  <c r="G30" i="46"/>
  <c r="O29" i="46"/>
  <c r="M29" i="46"/>
  <c r="P29" i="46" s="1"/>
  <c r="I29" i="46"/>
  <c r="G29" i="46"/>
  <c r="J29" i="46" s="1"/>
  <c r="R29" i="46" s="1"/>
  <c r="X29" i="46" s="1"/>
  <c r="AF29" i="46" s="1"/>
  <c r="P28" i="46"/>
  <c r="O28" i="46"/>
  <c r="M28" i="46"/>
  <c r="I28" i="46"/>
  <c r="G28" i="46"/>
  <c r="O27" i="46"/>
  <c r="P27" i="46" s="1"/>
  <c r="R27" i="46" s="1"/>
  <c r="X27" i="46" s="1"/>
  <c r="AF27" i="46" s="1"/>
  <c r="M27" i="46"/>
  <c r="J27" i="46"/>
  <c r="I27" i="46"/>
  <c r="G27" i="46"/>
  <c r="O26" i="46"/>
  <c r="M26" i="46"/>
  <c r="P26" i="46" s="1"/>
  <c r="I26" i="46"/>
  <c r="J26" i="46" s="1"/>
  <c r="R26" i="46" s="1"/>
  <c r="X26" i="46" s="1"/>
  <c r="AF26" i="46" s="1"/>
  <c r="G26" i="46"/>
  <c r="O25" i="46"/>
  <c r="M25" i="46"/>
  <c r="P25" i="46" s="1"/>
  <c r="J25" i="46"/>
  <c r="I25" i="46"/>
  <c r="G25" i="46"/>
  <c r="P24" i="46"/>
  <c r="O24" i="46"/>
  <c r="M24" i="46"/>
  <c r="I24" i="46"/>
  <c r="G24" i="46"/>
  <c r="O23" i="46"/>
  <c r="P23" i="46" s="1"/>
  <c r="M23" i="46"/>
  <c r="I23" i="46"/>
  <c r="G23" i="46"/>
  <c r="J23" i="46" s="1"/>
  <c r="R23" i="46" s="1"/>
  <c r="X23" i="46" s="1"/>
  <c r="AF23" i="46" s="1"/>
  <c r="O22" i="46"/>
  <c r="M22" i="46"/>
  <c r="P22" i="46" s="1"/>
  <c r="I22" i="46"/>
  <c r="J22" i="46" s="1"/>
  <c r="G22" i="46"/>
  <c r="O21" i="46"/>
  <c r="M21" i="46"/>
  <c r="I21" i="46"/>
  <c r="G21" i="46"/>
  <c r="J21" i="46" s="1"/>
  <c r="O20" i="46"/>
  <c r="M20" i="46"/>
  <c r="P20" i="46" s="1"/>
  <c r="I20" i="46"/>
  <c r="G20" i="46"/>
  <c r="J20" i="46" s="1"/>
  <c r="AF19" i="46"/>
  <c r="O19" i="46"/>
  <c r="P19" i="46" s="1"/>
  <c r="M19" i="46"/>
  <c r="J19" i="46"/>
  <c r="R19" i="46" s="1"/>
  <c r="X19" i="46" s="1"/>
  <c r="I19" i="46"/>
  <c r="G19" i="46"/>
  <c r="P18" i="46"/>
  <c r="O18" i="46"/>
  <c r="M18" i="46"/>
  <c r="I18" i="46"/>
  <c r="J18" i="46" s="1"/>
  <c r="G18" i="46"/>
  <c r="O17" i="46"/>
  <c r="M17" i="46"/>
  <c r="P17" i="46" s="1"/>
  <c r="J17" i="46"/>
  <c r="R17" i="46" s="1"/>
  <c r="X17" i="46" s="1"/>
  <c r="AF17" i="46" s="1"/>
  <c r="I17" i="46"/>
  <c r="G17" i="46"/>
  <c r="P16" i="46"/>
  <c r="O16" i="46"/>
  <c r="M16" i="46"/>
  <c r="I16" i="46"/>
  <c r="G16" i="46"/>
  <c r="O15" i="46"/>
  <c r="P15" i="46" s="1"/>
  <c r="M15" i="46"/>
  <c r="I15" i="46"/>
  <c r="G15" i="46"/>
  <c r="J15" i="46" s="1"/>
  <c r="O14" i="46"/>
  <c r="M14" i="46"/>
  <c r="P14" i="46" s="1"/>
  <c r="I14" i="46"/>
  <c r="J14" i="46" s="1"/>
  <c r="R14" i="46" s="1"/>
  <c r="X14" i="46" s="1"/>
  <c r="AF14" i="46" s="1"/>
  <c r="G14" i="46"/>
  <c r="O13" i="46"/>
  <c r="M13" i="46"/>
  <c r="I13" i="46"/>
  <c r="G13" i="46"/>
  <c r="J13" i="46" s="1"/>
  <c r="O12" i="46"/>
  <c r="M12" i="46"/>
  <c r="I12" i="46"/>
  <c r="G12" i="46"/>
  <c r="Q420" i="45"/>
  <c r="O420" i="45"/>
  <c r="M420" i="45"/>
  <c r="K420" i="45"/>
  <c r="K377" i="45"/>
  <c r="O375" i="45"/>
  <c r="M375" i="45"/>
  <c r="Q375" i="45" s="1"/>
  <c r="K375" i="45"/>
  <c r="O374" i="45"/>
  <c r="M374" i="45"/>
  <c r="Q374" i="45" s="1"/>
  <c r="K374" i="45"/>
  <c r="Q373" i="45"/>
  <c r="O373" i="45"/>
  <c r="M373" i="45"/>
  <c r="K373" i="45"/>
  <c r="Q372" i="45"/>
  <c r="O372" i="45"/>
  <c r="O377" i="45" s="1"/>
  <c r="M372" i="45"/>
  <c r="M377" i="45" s="1"/>
  <c r="K372" i="45"/>
  <c r="Q366" i="45"/>
  <c r="O366" i="45"/>
  <c r="M366" i="45"/>
  <c r="K366" i="45"/>
  <c r="O364" i="45"/>
  <c r="M364" i="45"/>
  <c r="Q364" i="45" s="1"/>
  <c r="K364" i="45"/>
  <c r="O363" i="45"/>
  <c r="M363" i="45"/>
  <c r="K363" i="45"/>
  <c r="M357" i="45"/>
  <c r="K357" i="45"/>
  <c r="K391" i="45" s="1"/>
  <c r="M356" i="45"/>
  <c r="K356" i="45"/>
  <c r="M355" i="45"/>
  <c r="K355" i="45"/>
  <c r="K389" i="45" s="1"/>
  <c r="K354" i="45"/>
  <c r="K388" i="45" s="1"/>
  <c r="Q341" i="45"/>
  <c r="O341" i="45"/>
  <c r="M341" i="45"/>
  <c r="K341" i="45"/>
  <c r="Q339" i="45"/>
  <c r="Q338" i="45"/>
  <c r="Q337" i="45"/>
  <c r="Q336" i="45"/>
  <c r="M332" i="45"/>
  <c r="K332" i="45"/>
  <c r="Q330" i="45"/>
  <c r="K329" i="45"/>
  <c r="Q328" i="45"/>
  <c r="Q327" i="45"/>
  <c r="M323" i="45"/>
  <c r="K323" i="45"/>
  <c r="K343" i="45" s="1"/>
  <c r="O321" i="45"/>
  <c r="Q321" i="45" s="1"/>
  <c r="O320" i="45"/>
  <c r="Q320" i="45" s="1"/>
  <c r="Q319" i="45"/>
  <c r="O319" i="45"/>
  <c r="Q318" i="45"/>
  <c r="O318" i="45"/>
  <c r="O305" i="45"/>
  <c r="M305" i="45"/>
  <c r="K305" i="45"/>
  <c r="Q303" i="45"/>
  <c r="Q302" i="45"/>
  <c r="Q301" i="45"/>
  <c r="Q300" i="45"/>
  <c r="O296" i="45"/>
  <c r="M296" i="45"/>
  <c r="K296" i="45"/>
  <c r="K293" i="45"/>
  <c r="M287" i="45"/>
  <c r="K287" i="45"/>
  <c r="K307" i="45" s="1"/>
  <c r="O285" i="45"/>
  <c r="O284" i="45"/>
  <c r="O283" i="45"/>
  <c r="K282" i="45"/>
  <c r="O269" i="45"/>
  <c r="M269" i="45"/>
  <c r="K269" i="45"/>
  <c r="Q267" i="45"/>
  <c r="Q266" i="45"/>
  <c r="Q265" i="45"/>
  <c r="Q264" i="45"/>
  <c r="M260" i="45"/>
  <c r="K260" i="45"/>
  <c r="Q258" i="45"/>
  <c r="K257" i="45"/>
  <c r="O260" i="45" s="1"/>
  <c r="Q256" i="45"/>
  <c r="Q255" i="45"/>
  <c r="M251" i="45"/>
  <c r="K251" i="45"/>
  <c r="K271" i="45" s="1"/>
  <c r="Q249" i="45"/>
  <c r="O249" i="45"/>
  <c r="O248" i="45"/>
  <c r="K246" i="45"/>
  <c r="O233" i="45"/>
  <c r="M233" i="45"/>
  <c r="K233" i="45"/>
  <c r="Q233" i="45"/>
  <c r="O224" i="45"/>
  <c r="K224" i="45"/>
  <c r="O215" i="45"/>
  <c r="O235" i="45" s="1"/>
  <c r="M215" i="45"/>
  <c r="K215" i="45"/>
  <c r="Q213" i="45"/>
  <c r="O213" i="45"/>
  <c r="O212" i="45"/>
  <c r="Q212" i="45" s="1"/>
  <c r="Q211" i="45"/>
  <c r="O211" i="45"/>
  <c r="O210" i="45"/>
  <c r="Q210" i="45" s="1"/>
  <c r="Q197" i="45"/>
  <c r="O197" i="45"/>
  <c r="M197" i="45"/>
  <c r="K197" i="45"/>
  <c r="Q195" i="45"/>
  <c r="Q194" i="45"/>
  <c r="Q193" i="45"/>
  <c r="Q192" i="45"/>
  <c r="M188" i="45"/>
  <c r="K185" i="45"/>
  <c r="K188" i="45" s="1"/>
  <c r="O177" i="45"/>
  <c r="O176" i="45"/>
  <c r="O175" i="45"/>
  <c r="K174" i="45"/>
  <c r="K179" i="45" s="1"/>
  <c r="K199" i="45" s="1"/>
  <c r="O161" i="45"/>
  <c r="M161" i="45"/>
  <c r="K161" i="45"/>
  <c r="Q159" i="45"/>
  <c r="Q158" i="45"/>
  <c r="Q157" i="45"/>
  <c r="Q156" i="45"/>
  <c r="O152" i="45"/>
  <c r="M152" i="45"/>
  <c r="K152" i="45"/>
  <c r="K143" i="45"/>
  <c r="O141" i="45"/>
  <c r="O140" i="45"/>
  <c r="O139" i="45"/>
  <c r="M354" i="45"/>
  <c r="L143" i="44" s="1"/>
  <c r="L145" i="44" s="1"/>
  <c r="M106" i="45"/>
  <c r="M105" i="45"/>
  <c r="M104" i="45"/>
  <c r="M103" i="45"/>
  <c r="O91" i="45"/>
  <c r="M91" i="45"/>
  <c r="K91" i="45"/>
  <c r="L47" i="44"/>
  <c r="K89" i="45"/>
  <c r="M82" i="45"/>
  <c r="M84" i="45"/>
  <c r="M80" i="45"/>
  <c r="M79" i="45"/>
  <c r="L30" i="44"/>
  <c r="L32" i="44" s="1"/>
  <c r="O57" i="45"/>
  <c r="O59" i="45" s="1"/>
  <c r="M57" i="45"/>
  <c r="M59" i="45" s="1"/>
  <c r="K57" i="45"/>
  <c r="K59" i="45" s="1"/>
  <c r="K54" i="45"/>
  <c r="O39" i="45"/>
  <c r="M39" i="45"/>
  <c r="K37" i="45"/>
  <c r="K35" i="45"/>
  <c r="Q39" i="45"/>
  <c r="M30" i="45"/>
  <c r="K28" i="45"/>
  <c r="O28" i="45" s="1"/>
  <c r="K26" i="45"/>
  <c r="K25" i="45"/>
  <c r="M21" i="45"/>
  <c r="K18" i="45"/>
  <c r="K17" i="45"/>
  <c r="C16" i="45"/>
  <c r="C17" i="45" s="1"/>
  <c r="C18" i="45" s="1"/>
  <c r="C19" i="45" s="1"/>
  <c r="C21" i="45" s="1"/>
  <c r="C23" i="45" s="1"/>
  <c r="C25" i="45" s="1"/>
  <c r="C26" i="45" s="1"/>
  <c r="C27" i="45" s="1"/>
  <c r="C28" i="45" s="1"/>
  <c r="C30" i="45" s="1"/>
  <c r="C32" i="45" s="1"/>
  <c r="C34" i="45" s="1"/>
  <c r="C35" i="45" s="1"/>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D237" i="44"/>
  <c r="O206" i="44" s="1"/>
  <c r="R217" i="44"/>
  <c r="R215" i="44"/>
  <c r="R211" i="44"/>
  <c r="N207" i="44"/>
  <c r="J207" i="44"/>
  <c r="E207" i="44"/>
  <c r="Q206" i="44"/>
  <c r="P206" i="44"/>
  <c r="Q205" i="44"/>
  <c r="F205" i="44"/>
  <c r="Q204" i="44"/>
  <c r="F204" i="44"/>
  <c r="Q203" i="44"/>
  <c r="G203" i="44"/>
  <c r="G204" i="44" s="1"/>
  <c r="F203" i="44"/>
  <c r="Q202" i="44"/>
  <c r="F202" i="44"/>
  <c r="Q201" i="44"/>
  <c r="F201" i="44"/>
  <c r="Q200" i="44"/>
  <c r="Q199" i="44"/>
  <c r="K199" i="44"/>
  <c r="H199" i="44"/>
  <c r="Q198" i="44"/>
  <c r="H198" i="44"/>
  <c r="K198" i="44" s="1"/>
  <c r="G198" i="44"/>
  <c r="G199" i="44" s="1"/>
  <c r="G200" i="44" s="1"/>
  <c r="G201" i="44" s="1"/>
  <c r="G202" i="44" s="1"/>
  <c r="H202" i="44" s="1"/>
  <c r="K202" i="44" s="1"/>
  <c r="Q197" i="44"/>
  <c r="H197" i="44"/>
  <c r="K197" i="44" s="1"/>
  <c r="G197" i="44"/>
  <c r="Q196" i="44"/>
  <c r="K196" i="44"/>
  <c r="H196" i="44"/>
  <c r="G196" i="44"/>
  <c r="Q195" i="44"/>
  <c r="K195" i="44"/>
  <c r="H195" i="44"/>
  <c r="L193" i="44"/>
  <c r="R182" i="44"/>
  <c r="R178" i="44"/>
  <c r="N174" i="44"/>
  <c r="J174" i="44"/>
  <c r="E174" i="44"/>
  <c r="Q173" i="44"/>
  <c r="Q172" i="44"/>
  <c r="F172" i="44"/>
  <c r="H172" i="44" s="1"/>
  <c r="K172" i="44" s="1"/>
  <c r="Q171" i="44"/>
  <c r="Q170" i="44"/>
  <c r="Q169" i="44"/>
  <c r="Q168" i="44"/>
  <c r="Q167" i="44"/>
  <c r="G167" i="44"/>
  <c r="G168" i="44" s="1"/>
  <c r="G169" i="44" s="1"/>
  <c r="G170" i="44" s="1"/>
  <c r="G171" i="44" s="1"/>
  <c r="G172" i="44" s="1"/>
  <c r="G173" i="44" s="1"/>
  <c r="H173" i="44" s="1"/>
  <c r="K173" i="44" s="1"/>
  <c r="Q166" i="44"/>
  <c r="H166" i="44"/>
  <c r="K166" i="44" s="1"/>
  <c r="Q165" i="44"/>
  <c r="K165" i="44"/>
  <c r="H165" i="44"/>
  <c r="Q164" i="44"/>
  <c r="H164" i="44"/>
  <c r="K164" i="44" s="1"/>
  <c r="Q163" i="44"/>
  <c r="K163" i="44"/>
  <c r="H163" i="44"/>
  <c r="G163" i="44"/>
  <c r="G164" i="44" s="1"/>
  <c r="G165" i="44" s="1"/>
  <c r="G166" i="44" s="1"/>
  <c r="Q162" i="44"/>
  <c r="Q174" i="44" s="1"/>
  <c r="K162" i="44"/>
  <c r="H162" i="44"/>
  <c r="L160" i="44"/>
  <c r="R149" i="44"/>
  <c r="R145" i="44"/>
  <c r="N141" i="44"/>
  <c r="J141" i="44"/>
  <c r="E141" i="44"/>
  <c r="Q140" i="44"/>
  <c r="Q139" i="44"/>
  <c r="F139" i="44"/>
  <c r="Q138" i="44"/>
  <c r="F138" i="44"/>
  <c r="Q137" i="44"/>
  <c r="Q136" i="44"/>
  <c r="Q135" i="44"/>
  <c r="Q134" i="44"/>
  <c r="Q133" i="44"/>
  <c r="K133" i="44"/>
  <c r="H133" i="44"/>
  <c r="Q132" i="44"/>
  <c r="H132" i="44"/>
  <c r="K132" i="44" s="1"/>
  <c r="Q131" i="44"/>
  <c r="K131" i="44"/>
  <c r="H131" i="44"/>
  <c r="G131" i="44"/>
  <c r="G132" i="44" s="1"/>
  <c r="G133" i="44" s="1"/>
  <c r="G134" i="44" s="1"/>
  <c r="G135" i="44" s="1"/>
  <c r="G136" i="44" s="1"/>
  <c r="G137" i="44" s="1"/>
  <c r="G138" i="44" s="1"/>
  <c r="G139" i="44" s="1"/>
  <c r="Q130" i="44"/>
  <c r="H130" i="44"/>
  <c r="K130" i="44" s="1"/>
  <c r="G130" i="44"/>
  <c r="Q129" i="44"/>
  <c r="K129" i="44"/>
  <c r="H129" i="44"/>
  <c r="L127" i="44"/>
  <c r="R102" i="44"/>
  <c r="R98" i="44"/>
  <c r="L98" i="44"/>
  <c r="L96" i="44"/>
  <c r="N94" i="44"/>
  <c r="J94" i="44"/>
  <c r="E94" i="44"/>
  <c r="Q93" i="44"/>
  <c r="Q92" i="44"/>
  <c r="F92" i="44"/>
  <c r="Q91" i="44"/>
  <c r="Q90" i="44"/>
  <c r="Q89" i="44"/>
  <c r="Q88" i="44"/>
  <c r="Q87" i="44"/>
  <c r="Q86" i="44"/>
  <c r="H86" i="44"/>
  <c r="K86" i="44" s="1"/>
  <c r="Q85" i="44"/>
  <c r="K85" i="44"/>
  <c r="H85" i="44"/>
  <c r="G85" i="44"/>
  <c r="G86" i="44" s="1"/>
  <c r="G87" i="44" s="1"/>
  <c r="G88" i="44" s="1"/>
  <c r="G89" i="44" s="1"/>
  <c r="G90" i="44" s="1"/>
  <c r="G91" i="44" s="1"/>
  <c r="G92" i="44" s="1"/>
  <c r="G93" i="44" s="1"/>
  <c r="H93" i="44" s="1"/>
  <c r="K93" i="44" s="1"/>
  <c r="Q84" i="44"/>
  <c r="H84" i="44"/>
  <c r="K84" i="44" s="1"/>
  <c r="Q83" i="44"/>
  <c r="Q94" i="44" s="1"/>
  <c r="K83" i="44"/>
  <c r="H83" i="44"/>
  <c r="G83" i="44"/>
  <c r="G84" i="44" s="1"/>
  <c r="Q82" i="44"/>
  <c r="H82" i="44"/>
  <c r="K82" i="44" s="1"/>
  <c r="L82" i="44" s="1"/>
  <c r="L80" i="44"/>
  <c r="R69" i="44"/>
  <c r="R65" i="44"/>
  <c r="L63" i="44"/>
  <c r="L65" i="44" s="1"/>
  <c r="N61" i="44"/>
  <c r="E61" i="44"/>
  <c r="Q59" i="44"/>
  <c r="G59" i="44"/>
  <c r="G60" i="44" s="1"/>
  <c r="H60" i="44" s="1"/>
  <c r="F59" i="44"/>
  <c r="Q58" i="44"/>
  <c r="F58" i="44"/>
  <c r="Q56" i="44"/>
  <c r="O55" i="44"/>
  <c r="Q54" i="44"/>
  <c r="H53" i="44"/>
  <c r="H52" i="44"/>
  <c r="G52" i="44"/>
  <c r="G53" i="44" s="1"/>
  <c r="G54" i="44" s="1"/>
  <c r="G55" i="44" s="1"/>
  <c r="G56" i="44" s="1"/>
  <c r="G57" i="44" s="1"/>
  <c r="G58" i="44" s="1"/>
  <c r="H51" i="44"/>
  <c r="G51" i="44"/>
  <c r="H50" i="44"/>
  <c r="G50" i="44"/>
  <c r="H49" i="44"/>
  <c r="R36" i="44"/>
  <c r="R32" i="44"/>
  <c r="Q28" i="44"/>
  <c r="N28" i="44"/>
  <c r="J28" i="44"/>
  <c r="E28" i="44"/>
  <c r="Q27" i="44"/>
  <c r="Q26" i="44"/>
  <c r="H26" i="44"/>
  <c r="K26" i="44" s="1"/>
  <c r="F26" i="44"/>
  <c r="Q25" i="44"/>
  <c r="F25" i="44"/>
  <c r="H25" i="44" s="1"/>
  <c r="K25" i="44" s="1"/>
  <c r="Q24" i="44"/>
  <c r="F24" i="44"/>
  <c r="Q23" i="44"/>
  <c r="Q22" i="44"/>
  <c r="Q21" i="44"/>
  <c r="Q20" i="44"/>
  <c r="H20" i="44"/>
  <c r="K20" i="44" s="1"/>
  <c r="B20" i="44"/>
  <c r="B21" i="44" s="1"/>
  <c r="B22" i="44" s="1"/>
  <c r="B23" i="44" s="1"/>
  <c r="B24" i="44" s="1"/>
  <c r="B25" i="44" s="1"/>
  <c r="B26" i="44" s="1"/>
  <c r="B27" i="44" s="1"/>
  <c r="Q19" i="44"/>
  <c r="O19" i="44"/>
  <c r="P19" i="44" s="1"/>
  <c r="K19" i="44"/>
  <c r="H19" i="44"/>
  <c r="G19" i="44"/>
  <c r="G20" i="44" s="1"/>
  <c r="G21" i="44" s="1"/>
  <c r="G22" i="44" s="1"/>
  <c r="G23" i="44" s="1"/>
  <c r="G24" i="44" s="1"/>
  <c r="G25" i="44" s="1"/>
  <c r="G26" i="44" s="1"/>
  <c r="G27" i="44" s="1"/>
  <c r="H27" i="44" s="1"/>
  <c r="K27" i="44" s="1"/>
  <c r="Q18" i="44"/>
  <c r="H18" i="44"/>
  <c r="K18" i="44" s="1"/>
  <c r="B18" i="44"/>
  <c r="B19" i="44" s="1"/>
  <c r="Q17" i="44"/>
  <c r="K17" i="44"/>
  <c r="H17" i="44"/>
  <c r="G17" i="44"/>
  <c r="G18" i="44" s="1"/>
  <c r="R16" i="44"/>
  <c r="Q16" i="44"/>
  <c r="H16" i="44"/>
  <c r="K16" i="44" s="1"/>
  <c r="B16" i="44"/>
  <c r="B17" i="44" s="1"/>
  <c r="L14" i="44"/>
  <c r="F312" i="43"/>
  <c r="I306" i="43"/>
  <c r="I312" i="43" s="1"/>
  <c r="G306" i="43"/>
  <c r="G312" i="43" s="1"/>
  <c r="F306" i="43"/>
  <c r="E305" i="43"/>
  <c r="E304" i="43"/>
  <c r="E303" i="43"/>
  <c r="E302" i="43"/>
  <c r="E301" i="43"/>
  <c r="H300" i="43"/>
  <c r="E299" i="43"/>
  <c r="I286" i="43"/>
  <c r="I292" i="43" s="1"/>
  <c r="I15" i="43" s="1"/>
  <c r="G286" i="43"/>
  <c r="G292" i="43" s="1"/>
  <c r="G15" i="43" s="1"/>
  <c r="I282" i="43"/>
  <c r="H282" i="43"/>
  <c r="G282" i="43"/>
  <c r="F282" i="43"/>
  <c r="F286" i="43" s="1"/>
  <c r="F292" i="43" s="1"/>
  <c r="E281" i="43"/>
  <c r="E280" i="43"/>
  <c r="E279" i="43"/>
  <c r="E278" i="43"/>
  <c r="E277" i="43"/>
  <c r="H284" i="43"/>
  <c r="E284" i="43" s="1"/>
  <c r="E276" i="43"/>
  <c r="E275" i="43"/>
  <c r="F248" i="43"/>
  <c r="I242" i="43"/>
  <c r="I248" i="43" s="1"/>
  <c r="G242" i="43"/>
  <c r="G248" i="43" s="1"/>
  <c r="E240" i="43"/>
  <c r="E239" i="43"/>
  <c r="E238" i="43"/>
  <c r="E237" i="43"/>
  <c r="I235" i="43"/>
  <c r="I257" i="43" s="1"/>
  <c r="H235" i="43"/>
  <c r="G235" i="43"/>
  <c r="G257" i="43" s="1"/>
  <c r="F235" i="43"/>
  <c r="F242" i="43" s="1"/>
  <c r="E234" i="43"/>
  <c r="E233" i="43"/>
  <c r="E232" i="43"/>
  <c r="E231" i="43"/>
  <c r="E230" i="43"/>
  <c r="E229" i="43"/>
  <c r="E228" i="43"/>
  <c r="E213" i="43"/>
  <c r="E212" i="43"/>
  <c r="E211" i="43"/>
  <c r="E210" i="43"/>
  <c r="I208" i="43"/>
  <c r="I215" i="43" s="1"/>
  <c r="I221" i="43" s="1"/>
  <c r="I14" i="43" s="1"/>
  <c r="H208" i="43"/>
  <c r="G208" i="43"/>
  <c r="G215" i="43" s="1"/>
  <c r="G221" i="43" s="1"/>
  <c r="G14" i="43" s="1"/>
  <c r="F208" i="43"/>
  <c r="E207" i="43"/>
  <c r="E206" i="43"/>
  <c r="E205" i="43"/>
  <c r="E204" i="43"/>
  <c r="E203" i="43"/>
  <c r="E202" i="43"/>
  <c r="E201" i="43"/>
  <c r="E200" i="43"/>
  <c r="E199" i="43"/>
  <c r="I174" i="43"/>
  <c r="E165" i="43"/>
  <c r="E164" i="43"/>
  <c r="E163" i="43"/>
  <c r="E162" i="43"/>
  <c r="I160" i="43"/>
  <c r="I181" i="43" s="1"/>
  <c r="H160" i="43"/>
  <c r="H167" i="43" s="1"/>
  <c r="H173" i="43" s="1"/>
  <c r="L78" i="41" s="1"/>
  <c r="G160" i="43"/>
  <c r="F160" i="43"/>
  <c r="E153" i="43"/>
  <c r="E160" i="43" s="1"/>
  <c r="E167" i="43" s="1"/>
  <c r="E138" i="43"/>
  <c r="E137" i="43"/>
  <c r="I136" i="43"/>
  <c r="H136" i="43"/>
  <c r="E136" i="43"/>
  <c r="I135" i="43"/>
  <c r="H135" i="43"/>
  <c r="F135" i="43"/>
  <c r="I133" i="43"/>
  <c r="I180" i="43" s="1"/>
  <c r="I182" i="43" s="1"/>
  <c r="H133" i="43"/>
  <c r="H180" i="43" s="1"/>
  <c r="F133" i="43"/>
  <c r="G135" i="43"/>
  <c r="E131" i="43"/>
  <c r="E130" i="43"/>
  <c r="E129" i="43"/>
  <c r="E128" i="43"/>
  <c r="F123" i="43"/>
  <c r="E123" i="43"/>
  <c r="F102" i="43"/>
  <c r="G96" i="43"/>
  <c r="G102" i="43" s="1"/>
  <c r="F96" i="43"/>
  <c r="I89" i="43"/>
  <c r="I96" i="43" s="1"/>
  <c r="I102" i="43" s="1"/>
  <c r="H89" i="43"/>
  <c r="H110" i="43" s="1"/>
  <c r="G89" i="43"/>
  <c r="G110" i="43" s="1"/>
  <c r="F89" i="43"/>
  <c r="F110" i="43" s="1"/>
  <c r="E89" i="43"/>
  <c r="E96" i="43" s="1"/>
  <c r="E67" i="43"/>
  <c r="E66" i="43"/>
  <c r="E65" i="43"/>
  <c r="E64" i="43"/>
  <c r="I62" i="43"/>
  <c r="I69" i="43" s="1"/>
  <c r="I75" i="43" s="1"/>
  <c r="I11" i="43" s="1"/>
  <c r="H62" i="43"/>
  <c r="H69" i="43" s="1"/>
  <c r="H75" i="43" s="1"/>
  <c r="H11" i="43" s="1"/>
  <c r="G62" i="43"/>
  <c r="G109" i="43" s="1"/>
  <c r="G111" i="43" s="1"/>
  <c r="E61" i="43"/>
  <c r="E60" i="43"/>
  <c r="E59" i="43"/>
  <c r="E58" i="43"/>
  <c r="E57" i="43"/>
  <c r="E56" i="43"/>
  <c r="E55" i="43"/>
  <c r="F62" i="43"/>
  <c r="E54" i="43"/>
  <c r="E53" i="43"/>
  <c r="E52" i="43"/>
  <c r="E51" i="43"/>
  <c r="E50" i="43"/>
  <c r="E49" i="43"/>
  <c r="E48" i="43"/>
  <c r="E47" i="43"/>
  <c r="E46" i="43"/>
  <c r="E45" i="43"/>
  <c r="E44" i="43"/>
  <c r="E43" i="43"/>
  <c r="E42" i="43"/>
  <c r="E41" i="43"/>
  <c r="E40" i="43"/>
  <c r="E39" i="43"/>
  <c r="E38" i="43"/>
  <c r="E37" i="43"/>
  <c r="B22" i="43"/>
  <c r="B17" i="43"/>
  <c r="B13" i="43"/>
  <c r="B14" i="43" s="1"/>
  <c r="B15" i="43" s="1"/>
  <c r="E12" i="43"/>
  <c r="B12" i="43"/>
  <c r="F317" i="42"/>
  <c r="I311" i="42"/>
  <c r="G311" i="42"/>
  <c r="G317" i="42" s="1"/>
  <c r="F311" i="42"/>
  <c r="E311" i="42"/>
  <c r="H305" i="42"/>
  <c r="H311" i="42" s="1"/>
  <c r="G297" i="42"/>
  <c r="G15" i="42" s="1"/>
  <c r="I291" i="42"/>
  <c r="F291" i="42"/>
  <c r="F297" i="42" s="1"/>
  <c r="H289" i="42"/>
  <c r="G13" i="9" s="1"/>
  <c r="I287" i="42"/>
  <c r="H287" i="42"/>
  <c r="H291" i="42" s="1"/>
  <c r="G287" i="42"/>
  <c r="G291" i="42" s="1"/>
  <c r="F287" i="42"/>
  <c r="E287" i="42"/>
  <c r="E291" i="42" s="1"/>
  <c r="I262" i="42"/>
  <c r="F262" i="42"/>
  <c r="I247" i="42"/>
  <c r="F247" i="42"/>
  <c r="F253" i="42" s="1"/>
  <c r="E247" i="42"/>
  <c r="I240" i="42"/>
  <c r="H240" i="42"/>
  <c r="G240" i="42"/>
  <c r="G262" i="42" s="1"/>
  <c r="F240" i="42"/>
  <c r="E240" i="42"/>
  <c r="F220" i="42"/>
  <c r="F226" i="42" s="1"/>
  <c r="F14" i="42" s="1"/>
  <c r="I213" i="42"/>
  <c r="H213" i="42"/>
  <c r="H261" i="42" s="1"/>
  <c r="G213" i="42"/>
  <c r="G261" i="42" s="1"/>
  <c r="F213" i="42"/>
  <c r="F261" i="42" s="1"/>
  <c r="E212" i="42"/>
  <c r="H224" i="1" s="1"/>
  <c r="H226" i="1" s="1"/>
  <c r="E211" i="42"/>
  <c r="E210" i="42"/>
  <c r="E209" i="42"/>
  <c r="E208" i="42"/>
  <c r="E207" i="42"/>
  <c r="E206" i="42"/>
  <c r="E205" i="42"/>
  <c r="E204" i="42"/>
  <c r="G186" i="42"/>
  <c r="G178" i="42"/>
  <c r="I172" i="42"/>
  <c r="I165" i="42"/>
  <c r="I186" i="42" s="1"/>
  <c r="H165" i="42"/>
  <c r="H172" i="42" s="1"/>
  <c r="G165" i="42"/>
  <c r="G172" i="42" s="1"/>
  <c r="F165" i="42"/>
  <c r="F186" i="42" s="1"/>
  <c r="E165" i="42"/>
  <c r="E172" i="42" s="1"/>
  <c r="E158" i="42"/>
  <c r="E143" i="42"/>
  <c r="E142" i="42"/>
  <c r="I141" i="42"/>
  <c r="H141" i="42"/>
  <c r="G141" i="42"/>
  <c r="F141" i="42"/>
  <c r="I140" i="42"/>
  <c r="H140" i="42"/>
  <c r="G140" i="42"/>
  <c r="I138" i="42"/>
  <c r="I185" i="42" s="1"/>
  <c r="G138" i="42"/>
  <c r="G185" i="42" s="1"/>
  <c r="G187" i="42" s="1"/>
  <c r="F138" i="42"/>
  <c r="F185" i="42" s="1"/>
  <c r="F187" i="42" s="1"/>
  <c r="E137" i="42"/>
  <c r="E136" i="42"/>
  <c r="E135" i="42"/>
  <c r="E134" i="42"/>
  <c r="E133" i="42"/>
  <c r="G115" i="42"/>
  <c r="F115" i="42"/>
  <c r="H114" i="42"/>
  <c r="H116" i="42" s="1"/>
  <c r="G114" i="42"/>
  <c r="G101" i="42"/>
  <c r="G107" i="42" s="1"/>
  <c r="F101" i="42"/>
  <c r="F107" i="42" s="1"/>
  <c r="I94" i="42"/>
  <c r="H94" i="42"/>
  <c r="H115" i="42" s="1"/>
  <c r="G94" i="42"/>
  <c r="F94" i="42"/>
  <c r="E94" i="42"/>
  <c r="E101" i="42" s="1"/>
  <c r="I74" i="42"/>
  <c r="I72" i="42"/>
  <c r="H72" i="42"/>
  <c r="G72" i="42"/>
  <c r="F72" i="42"/>
  <c r="E72" i="42"/>
  <c r="E71" i="42"/>
  <c r="H74" i="42"/>
  <c r="G74" i="42"/>
  <c r="G80" i="42" s="1"/>
  <c r="G11" i="42" s="1"/>
  <c r="E70" i="42"/>
  <c r="E69" i="42"/>
  <c r="I114" i="42"/>
  <c r="E37" i="42"/>
  <c r="B22" i="42"/>
  <c r="B17" i="42"/>
  <c r="B13" i="42"/>
  <c r="B14" i="42" s="1"/>
  <c r="B15" i="42" s="1"/>
  <c r="E12" i="42"/>
  <c r="B12" i="42"/>
  <c r="E177" i="41"/>
  <c r="R166" i="41"/>
  <c r="L166" i="41"/>
  <c r="R162" i="41"/>
  <c r="R168" i="41" s="1"/>
  <c r="L162" i="41"/>
  <c r="L168" i="41" s="1"/>
  <c r="N158" i="41"/>
  <c r="J158" i="41"/>
  <c r="E158" i="41"/>
  <c r="Q157" i="41"/>
  <c r="O157" i="41"/>
  <c r="P157" i="41" s="1"/>
  <c r="Q156" i="41"/>
  <c r="O156" i="41"/>
  <c r="P156" i="41" s="1"/>
  <c r="F156" i="41"/>
  <c r="Q155" i="41"/>
  <c r="O155" i="41"/>
  <c r="P155" i="41" s="1"/>
  <c r="Q154" i="41"/>
  <c r="O154" i="41"/>
  <c r="P154" i="41" s="1"/>
  <c r="Q153" i="41"/>
  <c r="O153" i="41"/>
  <c r="P153" i="41" s="1"/>
  <c r="Q152" i="41"/>
  <c r="O152" i="41"/>
  <c r="P152" i="41" s="1"/>
  <c r="Q151" i="41"/>
  <c r="P151" i="41"/>
  <c r="O151" i="41"/>
  <c r="Q150" i="41"/>
  <c r="O150" i="41"/>
  <c r="P150" i="41" s="1"/>
  <c r="K150" i="41"/>
  <c r="H150" i="41"/>
  <c r="Q149" i="41"/>
  <c r="O149" i="41"/>
  <c r="P149" i="41" s="1"/>
  <c r="K149" i="41"/>
  <c r="H149" i="41"/>
  <c r="Q148" i="41"/>
  <c r="O148" i="41"/>
  <c r="P148" i="41" s="1"/>
  <c r="H148" i="41"/>
  <c r="K148" i="41" s="1"/>
  <c r="Q147" i="41"/>
  <c r="O147" i="41"/>
  <c r="P147" i="41" s="1"/>
  <c r="H147" i="41"/>
  <c r="K147" i="41" s="1"/>
  <c r="G147" i="41"/>
  <c r="G148" i="41" s="1"/>
  <c r="G149" i="41" s="1"/>
  <c r="G150" i="41" s="1"/>
  <c r="G151" i="41" s="1"/>
  <c r="G152" i="41" s="1"/>
  <c r="G153" i="41" s="1"/>
  <c r="G154" i="41" s="1"/>
  <c r="G155" i="41" s="1"/>
  <c r="G156" i="41" s="1"/>
  <c r="G157" i="41" s="1"/>
  <c r="H157" i="41" s="1"/>
  <c r="K157" i="41" s="1"/>
  <c r="Q146" i="41"/>
  <c r="O146" i="41"/>
  <c r="P146" i="41" s="1"/>
  <c r="R146" i="41" s="1"/>
  <c r="H146" i="41"/>
  <c r="K146" i="41" s="1"/>
  <c r="R133" i="41"/>
  <c r="R129" i="41"/>
  <c r="N125" i="41"/>
  <c r="J125" i="41"/>
  <c r="E125" i="41"/>
  <c r="Q124" i="41"/>
  <c r="O124" i="41"/>
  <c r="P124" i="41" s="1"/>
  <c r="Q123" i="41"/>
  <c r="O123" i="41"/>
  <c r="P123" i="41" s="1"/>
  <c r="F123" i="41"/>
  <c r="Q122" i="41"/>
  <c r="Q125" i="41" s="1"/>
  <c r="O122" i="41"/>
  <c r="P122" i="41" s="1"/>
  <c r="F122" i="41"/>
  <c r="Q121" i="41"/>
  <c r="O121" i="41"/>
  <c r="P121" i="41" s="1"/>
  <c r="F121" i="41"/>
  <c r="Q120" i="41"/>
  <c r="O120" i="41"/>
  <c r="P120" i="41" s="1"/>
  <c r="F120" i="41"/>
  <c r="Q119" i="41"/>
  <c r="O119" i="41"/>
  <c r="P119" i="41" s="1"/>
  <c r="F119" i="41"/>
  <c r="Q118" i="41"/>
  <c r="O118" i="41"/>
  <c r="P118" i="41" s="1"/>
  <c r="F118" i="41"/>
  <c r="Q117" i="41"/>
  <c r="O117" i="41"/>
  <c r="P117" i="41" s="1"/>
  <c r="H117" i="41"/>
  <c r="K117" i="41" s="1"/>
  <c r="Q116" i="41"/>
  <c r="O116" i="41"/>
  <c r="P116" i="41" s="1"/>
  <c r="H116" i="41"/>
  <c r="K116" i="41" s="1"/>
  <c r="Q115" i="41"/>
  <c r="O115" i="41"/>
  <c r="P115" i="41" s="1"/>
  <c r="H115" i="41"/>
  <c r="K115" i="41" s="1"/>
  <c r="Q114" i="41"/>
  <c r="O114" i="41"/>
  <c r="P114" i="41" s="1"/>
  <c r="H114" i="41"/>
  <c r="K114" i="41" s="1"/>
  <c r="G114" i="41"/>
  <c r="G115" i="41" s="1"/>
  <c r="G116" i="41" s="1"/>
  <c r="G117" i="41" s="1"/>
  <c r="G118" i="41" s="1"/>
  <c r="G119" i="41" s="1"/>
  <c r="G120" i="41" s="1"/>
  <c r="G121" i="41" s="1"/>
  <c r="G122" i="41" s="1"/>
  <c r="G123" i="41" s="1"/>
  <c r="Q113" i="41"/>
  <c r="O113" i="41"/>
  <c r="P113" i="41" s="1"/>
  <c r="R113" i="41" s="1"/>
  <c r="H113" i="41"/>
  <c r="K113" i="41" s="1"/>
  <c r="R96" i="41"/>
  <c r="N92" i="41"/>
  <c r="J92" i="41"/>
  <c r="E92" i="41"/>
  <c r="Q91" i="41"/>
  <c r="Q90" i="41"/>
  <c r="F90" i="41"/>
  <c r="Q89" i="41"/>
  <c r="Q88" i="41"/>
  <c r="Q87" i="41"/>
  <c r="P87" i="41"/>
  <c r="Q86" i="41"/>
  <c r="P86" i="41"/>
  <c r="Q85" i="41"/>
  <c r="P85" i="41"/>
  <c r="Q84" i="41"/>
  <c r="P84" i="41"/>
  <c r="K84" i="41"/>
  <c r="H84" i="41"/>
  <c r="Q83" i="41"/>
  <c r="P83" i="41"/>
  <c r="H83" i="41"/>
  <c r="K83" i="41" s="1"/>
  <c r="Q82" i="41"/>
  <c r="P82" i="41"/>
  <c r="H82" i="41"/>
  <c r="K82" i="41" s="1"/>
  <c r="G82" i="41"/>
  <c r="G83" i="41" s="1"/>
  <c r="G84" i="41" s="1"/>
  <c r="G85" i="41" s="1"/>
  <c r="G86" i="41" s="1"/>
  <c r="G87" i="41" s="1"/>
  <c r="G88" i="41" s="1"/>
  <c r="G89" i="41" s="1"/>
  <c r="G90" i="41" s="1"/>
  <c r="G91" i="41" s="1"/>
  <c r="H91" i="41" s="1"/>
  <c r="K91" i="41" s="1"/>
  <c r="P91" i="41" s="1"/>
  <c r="Q81" i="41"/>
  <c r="P81" i="41"/>
  <c r="H81" i="41"/>
  <c r="K81" i="41" s="1"/>
  <c r="G81" i="41"/>
  <c r="Q80" i="41"/>
  <c r="P80" i="41"/>
  <c r="K80" i="41"/>
  <c r="H80" i="41"/>
  <c r="R67" i="41"/>
  <c r="R69" i="41" s="1"/>
  <c r="L67" i="41"/>
  <c r="R63" i="41"/>
  <c r="L63" i="41"/>
  <c r="L69" i="41" s="1"/>
  <c r="N59" i="41"/>
  <c r="J59" i="41"/>
  <c r="E59" i="41"/>
  <c r="Q58" i="41"/>
  <c r="O58" i="41"/>
  <c r="P58" i="41" s="1"/>
  <c r="Q57" i="41"/>
  <c r="O57" i="41"/>
  <c r="P57" i="41" s="1"/>
  <c r="F57" i="41"/>
  <c r="Q56" i="41"/>
  <c r="O56" i="41"/>
  <c r="P56" i="41" s="1"/>
  <c r="F56" i="41"/>
  <c r="H56" i="41" s="1"/>
  <c r="K56" i="41" s="1"/>
  <c r="Q55" i="41"/>
  <c r="O55" i="41"/>
  <c r="P55" i="41" s="1"/>
  <c r="Q54" i="41"/>
  <c r="P54" i="41"/>
  <c r="O54" i="41"/>
  <c r="Q53" i="41"/>
  <c r="O53" i="41"/>
  <c r="P53" i="41" s="1"/>
  <c r="Q52" i="41"/>
  <c r="O52" i="41"/>
  <c r="P52" i="41" s="1"/>
  <c r="Q51" i="41"/>
  <c r="O51" i="41"/>
  <c r="P51" i="41" s="1"/>
  <c r="H51" i="41"/>
  <c r="K51" i="41" s="1"/>
  <c r="Q50" i="41"/>
  <c r="O50" i="41"/>
  <c r="P50" i="41" s="1"/>
  <c r="H50" i="41"/>
  <c r="K50" i="41" s="1"/>
  <c r="Q49" i="41"/>
  <c r="O49" i="41"/>
  <c r="P49" i="41" s="1"/>
  <c r="K49" i="41"/>
  <c r="H49" i="41"/>
  <c r="Q48" i="41"/>
  <c r="O48" i="41"/>
  <c r="P48" i="41" s="1"/>
  <c r="H48" i="41"/>
  <c r="K48" i="41" s="1"/>
  <c r="G48" i="41"/>
  <c r="G49" i="41" s="1"/>
  <c r="G50" i="41" s="1"/>
  <c r="G51" i="41" s="1"/>
  <c r="G52" i="41" s="1"/>
  <c r="G53" i="41" s="1"/>
  <c r="G54" i="41" s="1"/>
  <c r="G55" i="41" s="1"/>
  <c r="G56" i="41" s="1"/>
  <c r="G57" i="41" s="1"/>
  <c r="Q47" i="41"/>
  <c r="Q59" i="41" s="1"/>
  <c r="O47" i="41"/>
  <c r="P47" i="41" s="1"/>
  <c r="R47" i="41" s="1"/>
  <c r="H47" i="41"/>
  <c r="K47" i="41" s="1"/>
  <c r="R34" i="41"/>
  <c r="R30" i="41"/>
  <c r="N26" i="41"/>
  <c r="J26" i="41"/>
  <c r="E26" i="41"/>
  <c r="Q25" i="41"/>
  <c r="O25" i="41"/>
  <c r="P25" i="41" s="1"/>
  <c r="Q24" i="41"/>
  <c r="O24" i="41"/>
  <c r="P24" i="41" s="1"/>
  <c r="F24" i="41"/>
  <c r="Q23" i="41"/>
  <c r="O23" i="41"/>
  <c r="P23" i="41" s="1"/>
  <c r="Q22" i="41"/>
  <c r="O22" i="41"/>
  <c r="P22" i="41" s="1"/>
  <c r="Q21" i="41"/>
  <c r="O21" i="41"/>
  <c r="P21" i="41" s="1"/>
  <c r="Q20" i="41"/>
  <c r="O20" i="41"/>
  <c r="P20" i="41" s="1"/>
  <c r="Q19" i="41"/>
  <c r="O19" i="41"/>
  <c r="P19" i="41" s="1"/>
  <c r="Q18" i="41"/>
  <c r="O18" i="41"/>
  <c r="P18" i="41" s="1"/>
  <c r="K18" i="41"/>
  <c r="H18" i="41"/>
  <c r="Q17" i="41"/>
  <c r="P17" i="41"/>
  <c r="O17" i="41"/>
  <c r="H17" i="41"/>
  <c r="K17" i="41" s="1"/>
  <c r="Q16" i="41"/>
  <c r="O16" i="41"/>
  <c r="P16" i="41" s="1"/>
  <c r="H16" i="41"/>
  <c r="K16" i="41" s="1"/>
  <c r="G16" i="41"/>
  <c r="G17" i="41" s="1"/>
  <c r="G18" i="41" s="1"/>
  <c r="G19" i="41" s="1"/>
  <c r="G20" i="41" s="1"/>
  <c r="G21" i="41" s="1"/>
  <c r="G22" i="41" s="1"/>
  <c r="G23" i="41" s="1"/>
  <c r="G24" i="41" s="1"/>
  <c r="G25" i="41" s="1"/>
  <c r="H25" i="41" s="1"/>
  <c r="K25" i="41" s="1"/>
  <c r="Q15" i="41"/>
  <c r="P15" i="41"/>
  <c r="O15" i="41"/>
  <c r="H15" i="41"/>
  <c r="K15" i="41" s="1"/>
  <c r="G15" i="41"/>
  <c r="Q14" i="41"/>
  <c r="Q26" i="41" s="1"/>
  <c r="O14" i="41"/>
  <c r="P14" i="41" s="1"/>
  <c r="K14" i="41"/>
  <c r="H14" i="41"/>
  <c r="B14" i="41"/>
  <c r="B15" i="41" s="1"/>
  <c r="B16" i="41" s="1"/>
  <c r="B17" i="41" s="1"/>
  <c r="B18" i="41" s="1"/>
  <c r="B19" i="41" s="1"/>
  <c r="B20" i="41" s="1"/>
  <c r="B21" i="41" s="1"/>
  <c r="B22" i="41" s="1"/>
  <c r="B23" i="41" s="1"/>
  <c r="B24" i="41" s="1"/>
  <c r="B25" i="41" s="1"/>
  <c r="R184" i="44" l="1"/>
  <c r="R151" i="44"/>
  <c r="R104" i="44"/>
  <c r="R71" i="44"/>
  <c r="R36" i="41"/>
  <c r="O51" i="44"/>
  <c r="O132" i="44"/>
  <c r="O49" i="44"/>
  <c r="O52" i="44"/>
  <c r="O61" i="44" s="1"/>
  <c r="O138" i="44"/>
  <c r="P138" i="44" s="1"/>
  <c r="O172" i="44"/>
  <c r="O196" i="44"/>
  <c r="O50" i="44"/>
  <c r="O53" i="44"/>
  <c r="O131" i="44"/>
  <c r="P131" i="44" s="1"/>
  <c r="O60" i="44"/>
  <c r="O135" i="44"/>
  <c r="P135" i="44" s="1"/>
  <c r="O21" i="44"/>
  <c r="P21" i="44" s="1"/>
  <c r="O54" i="44"/>
  <c r="O83" i="44"/>
  <c r="O91" i="44"/>
  <c r="P91" i="44" s="1"/>
  <c r="O134" i="44"/>
  <c r="P134" i="44" s="1"/>
  <c r="O205" i="44"/>
  <c r="O163" i="44"/>
  <c r="R147" i="41"/>
  <c r="R148" i="41" s="1"/>
  <c r="R149" i="41" s="1"/>
  <c r="R150" i="41" s="1"/>
  <c r="R151" i="41" s="1"/>
  <c r="R152" i="41" s="1"/>
  <c r="R153" i="41" s="1"/>
  <c r="R154" i="41" s="1"/>
  <c r="R155" i="41" s="1"/>
  <c r="R156" i="41" s="1"/>
  <c r="R157" i="41" s="1"/>
  <c r="R169" i="41" s="1"/>
  <c r="R170" i="41" s="1"/>
  <c r="H90" i="1" s="1"/>
  <c r="O84" i="44"/>
  <c r="P84" i="44" s="1"/>
  <c r="O140" i="44"/>
  <c r="P140" i="44" s="1"/>
  <c r="O57" i="44"/>
  <c r="O88" i="44"/>
  <c r="P88" i="44" s="1"/>
  <c r="O93" i="44"/>
  <c r="P93" i="44" s="1"/>
  <c r="O169" i="44"/>
  <c r="O58" i="44"/>
  <c r="P58" i="44" s="1"/>
  <c r="O133" i="44"/>
  <c r="P133" i="44" s="1"/>
  <c r="E135" i="43"/>
  <c r="H109" i="43"/>
  <c r="O22" i="44"/>
  <c r="P22" i="44" s="1"/>
  <c r="O26" i="44"/>
  <c r="P26" i="44" s="1"/>
  <c r="O89" i="44"/>
  <c r="P89" i="44" s="1"/>
  <c r="O162" i="44"/>
  <c r="P162" i="44" s="1"/>
  <c r="R162" i="44" s="1"/>
  <c r="O171" i="44"/>
  <c r="P171" i="44" s="1"/>
  <c r="O17" i="44"/>
  <c r="P17" i="44" s="1"/>
  <c r="R17" i="44" s="1"/>
  <c r="O20" i="44"/>
  <c r="P83" i="44"/>
  <c r="O87" i="44"/>
  <c r="P87" i="44" s="1"/>
  <c r="O92" i="44"/>
  <c r="O129" i="44"/>
  <c r="P129" i="44" s="1"/>
  <c r="P132" i="44"/>
  <c r="O137" i="44"/>
  <c r="P137" i="44" s="1"/>
  <c r="O139" i="44"/>
  <c r="P139" i="44" s="1"/>
  <c r="O164" i="44"/>
  <c r="P164" i="44" s="1"/>
  <c r="O168" i="44"/>
  <c r="P168" i="44" s="1"/>
  <c r="O199" i="44"/>
  <c r="P199" i="44" s="1"/>
  <c r="O16" i="44"/>
  <c r="P16" i="44" s="1"/>
  <c r="P20" i="44"/>
  <c r="O23" i="44"/>
  <c r="P23" i="44" s="1"/>
  <c r="O25" i="44"/>
  <c r="P25" i="44" s="1"/>
  <c r="O27" i="44"/>
  <c r="P27" i="44" s="1"/>
  <c r="O56" i="44"/>
  <c r="O82" i="44"/>
  <c r="P82" i="44" s="1"/>
  <c r="R82" i="44" s="1"/>
  <c r="O85" i="44"/>
  <c r="O90" i="44"/>
  <c r="P90" i="44" s="1"/>
  <c r="P92" i="44"/>
  <c r="O166" i="44"/>
  <c r="P166" i="44" s="1"/>
  <c r="O204" i="44"/>
  <c r="P204" i="44" s="1"/>
  <c r="O18" i="44"/>
  <c r="P18" i="44" s="1"/>
  <c r="O24" i="44"/>
  <c r="P24" i="44" s="1"/>
  <c r="O59" i="44"/>
  <c r="O86" i="44"/>
  <c r="P86" i="44" s="1"/>
  <c r="O130" i="44"/>
  <c r="P130" i="44" s="1"/>
  <c r="O136" i="44"/>
  <c r="P136" i="44" s="1"/>
  <c r="P163" i="44"/>
  <c r="O165" i="44"/>
  <c r="P165" i="44" s="1"/>
  <c r="O167" i="44"/>
  <c r="P167" i="44" s="1"/>
  <c r="P196" i="44"/>
  <c r="O203" i="44"/>
  <c r="P203" i="44" s="1"/>
  <c r="P205" i="44"/>
  <c r="R48" i="41"/>
  <c r="R49" i="41" s="1"/>
  <c r="R50" i="41" s="1"/>
  <c r="R51" i="41" s="1"/>
  <c r="R52" i="41" s="1"/>
  <c r="R53" i="41" s="1"/>
  <c r="R54" i="41" s="1"/>
  <c r="R55" i="41" s="1"/>
  <c r="R56" i="41" s="1"/>
  <c r="R57" i="41" s="1"/>
  <c r="R58" i="41" s="1"/>
  <c r="R70" i="41" s="1"/>
  <c r="R71" i="41" s="1"/>
  <c r="H87" i="1" s="1"/>
  <c r="R114" i="41"/>
  <c r="R115" i="41" s="1"/>
  <c r="R116" i="41" s="1"/>
  <c r="R117" i="41" s="1"/>
  <c r="R118" i="41" s="1"/>
  <c r="R119" i="41" s="1"/>
  <c r="R120" i="41" s="1"/>
  <c r="R121" i="41" s="1"/>
  <c r="R122" i="41" s="1"/>
  <c r="R123" i="41" s="1"/>
  <c r="R124" i="41" s="1"/>
  <c r="R136" i="41" s="1"/>
  <c r="P125" i="41"/>
  <c r="O170" i="44"/>
  <c r="P170" i="44" s="1"/>
  <c r="P172" i="44"/>
  <c r="E237" i="44"/>
  <c r="P26" i="41"/>
  <c r="O197" i="44"/>
  <c r="O173" i="44"/>
  <c r="P173" i="44" s="1"/>
  <c r="O201" i="44"/>
  <c r="P201" i="44" s="1"/>
  <c r="O26" i="41"/>
  <c r="O158" i="41"/>
  <c r="O59" i="41"/>
  <c r="O125" i="41"/>
  <c r="P169" i="44"/>
  <c r="O195" i="44"/>
  <c r="P195" i="44" s="1"/>
  <c r="O198" i="44"/>
  <c r="P198" i="44" s="1"/>
  <c r="O200" i="44"/>
  <c r="P200" i="44" s="1"/>
  <c r="O202" i="44"/>
  <c r="P202" i="44" s="1"/>
  <c r="Q92" i="41"/>
  <c r="O92" i="41"/>
  <c r="G220" i="42"/>
  <c r="G226" i="42" s="1"/>
  <c r="G14" i="42" s="1"/>
  <c r="E213" i="42"/>
  <c r="E220" i="42" s="1"/>
  <c r="H186" i="42"/>
  <c r="I145" i="42"/>
  <c r="I151" i="42" s="1"/>
  <c r="I13" i="42" s="1"/>
  <c r="E67" i="42"/>
  <c r="E74" i="42" s="1"/>
  <c r="H286" i="43"/>
  <c r="H292" i="43" s="1"/>
  <c r="H15" i="43" s="1"/>
  <c r="G256" i="43"/>
  <c r="G258" i="43" s="1"/>
  <c r="I256" i="43"/>
  <c r="I258" i="43" s="1"/>
  <c r="E208" i="43"/>
  <c r="E215" i="43" s="1"/>
  <c r="H181" i="43"/>
  <c r="H140" i="43"/>
  <c r="H146" i="43" s="1"/>
  <c r="H13" i="43" s="1"/>
  <c r="E138" i="42"/>
  <c r="F145" i="42"/>
  <c r="F151" i="42" s="1"/>
  <c r="F13" i="42" s="1"/>
  <c r="G145" i="42"/>
  <c r="G151" i="42" s="1"/>
  <c r="G13" i="42" s="1"/>
  <c r="G17" i="42" s="1"/>
  <c r="E141" i="42"/>
  <c r="H111" i="43"/>
  <c r="I109" i="43"/>
  <c r="I111" i="43" s="1"/>
  <c r="M307" i="45"/>
  <c r="M271" i="45"/>
  <c r="M93" i="45"/>
  <c r="O93" i="45"/>
  <c r="M41" i="45"/>
  <c r="M108" i="45"/>
  <c r="B26" i="41"/>
  <c r="B28" i="41" s="1"/>
  <c r="J37" i="41"/>
  <c r="N37" i="41"/>
  <c r="D26" i="41"/>
  <c r="H24" i="41"/>
  <c r="K24" i="41" s="1"/>
  <c r="H90" i="41"/>
  <c r="K90" i="41" s="1"/>
  <c r="P90" i="41" s="1"/>
  <c r="F109" i="43"/>
  <c r="F69" i="43"/>
  <c r="F75" i="43" s="1"/>
  <c r="L47" i="41"/>
  <c r="G58" i="41"/>
  <c r="H58" i="41" s="1"/>
  <c r="K58" i="41" s="1"/>
  <c r="H57" i="41"/>
  <c r="K57" i="41" s="1"/>
  <c r="L113" i="41"/>
  <c r="G124" i="41"/>
  <c r="H124" i="41" s="1"/>
  <c r="K124" i="41" s="1"/>
  <c r="H123" i="41"/>
  <c r="K123" i="41" s="1"/>
  <c r="F15" i="42"/>
  <c r="E110" i="43"/>
  <c r="G140" i="44"/>
  <c r="H140" i="44" s="1"/>
  <c r="K140" i="44" s="1"/>
  <c r="H139" i="44"/>
  <c r="K139" i="44" s="1"/>
  <c r="L114" i="41"/>
  <c r="L115" i="41"/>
  <c r="L116" i="41" s="1"/>
  <c r="L117" i="41" s="1"/>
  <c r="H118" i="41"/>
  <c r="K118" i="41" s="1"/>
  <c r="H119" i="41"/>
  <c r="K119" i="41" s="1"/>
  <c r="H120" i="41"/>
  <c r="K120" i="41" s="1"/>
  <c r="H121" i="41"/>
  <c r="K121" i="41" s="1"/>
  <c r="H122" i="41"/>
  <c r="K122" i="41" s="1"/>
  <c r="L146" i="41"/>
  <c r="L147" i="41" s="1"/>
  <c r="L148" i="41" s="1"/>
  <c r="L149" i="41" s="1"/>
  <c r="L150" i="41" s="1"/>
  <c r="E262" i="42"/>
  <c r="L132" i="44"/>
  <c r="AF66" i="46"/>
  <c r="F263" i="42"/>
  <c r="H92" i="44"/>
  <c r="K92" i="44" s="1"/>
  <c r="F91" i="44"/>
  <c r="X82" i="46"/>
  <c r="AF82" i="46" s="1"/>
  <c r="P59" i="41"/>
  <c r="L80" i="41"/>
  <c r="L81" i="41" s="1"/>
  <c r="L82" i="41" s="1"/>
  <c r="L83" i="41" s="1"/>
  <c r="L84" i="41" s="1"/>
  <c r="R80" i="41"/>
  <c r="R81" i="41" s="1"/>
  <c r="R82" i="41" s="1"/>
  <c r="R83" i="41" s="1"/>
  <c r="R84" i="41" s="1"/>
  <c r="R85" i="41" s="1"/>
  <c r="R86" i="41" s="1"/>
  <c r="R87" i="41" s="1"/>
  <c r="H156" i="41"/>
  <c r="K156" i="41" s="1"/>
  <c r="F155" i="41"/>
  <c r="H101" i="42"/>
  <c r="E115" i="42"/>
  <c r="E186" i="42"/>
  <c r="H220" i="42"/>
  <c r="G263" i="42"/>
  <c r="E62" i="43"/>
  <c r="E69" i="43" s="1"/>
  <c r="H96" i="43"/>
  <c r="H102" i="43" s="1"/>
  <c r="I140" i="43"/>
  <c r="I146" i="43" s="1"/>
  <c r="I13" i="43" s="1"/>
  <c r="I17" i="43" s="1"/>
  <c r="H242" i="43"/>
  <c r="H248" i="43" s="1"/>
  <c r="E248" i="43" s="1"/>
  <c r="H257" i="43"/>
  <c r="H24" i="44"/>
  <c r="K24" i="44" s="1"/>
  <c r="F23" i="44"/>
  <c r="L129" i="44"/>
  <c r="L164" i="44"/>
  <c r="L165" i="44" s="1"/>
  <c r="H204" i="44"/>
  <c r="K204" i="44" s="1"/>
  <c r="G205" i="44"/>
  <c r="G206" i="44" s="1"/>
  <c r="H206" i="44" s="1"/>
  <c r="K206" i="44" s="1"/>
  <c r="H138" i="42"/>
  <c r="I187" i="42"/>
  <c r="L83" i="44"/>
  <c r="M92" i="46"/>
  <c r="P76" i="46"/>
  <c r="L14" i="41"/>
  <c r="L15" i="41" s="1"/>
  <c r="L16" i="41" s="1"/>
  <c r="L17" i="41" s="1"/>
  <c r="L18" i="41" s="1"/>
  <c r="P158" i="41"/>
  <c r="I115" i="42"/>
  <c r="I116" i="42" s="1"/>
  <c r="I101" i="42"/>
  <c r="F172" i="42"/>
  <c r="F178" i="42" s="1"/>
  <c r="I261" i="42"/>
  <c r="I263" i="42" s="1"/>
  <c r="I220" i="42"/>
  <c r="H262" i="42"/>
  <c r="H263" i="42" s="1"/>
  <c r="H247" i="42"/>
  <c r="G247" i="42"/>
  <c r="G253" i="42" s="1"/>
  <c r="G69" i="43"/>
  <c r="G75" i="43" s="1"/>
  <c r="G11" i="43" s="1"/>
  <c r="E102" i="43"/>
  <c r="I110" i="43"/>
  <c r="F180" i="43"/>
  <c r="F140" i="43"/>
  <c r="F146" i="43" s="1"/>
  <c r="F181" i="43"/>
  <c r="F167" i="43"/>
  <c r="F173" i="43" s="1"/>
  <c r="E292" i="43"/>
  <c r="F15" i="43"/>
  <c r="E15" i="43" s="1"/>
  <c r="L16" i="44"/>
  <c r="L17" i="44" s="1"/>
  <c r="L18" i="44" s="1"/>
  <c r="L19" i="44" s="1"/>
  <c r="L20" i="44" s="1"/>
  <c r="Q50" i="44"/>
  <c r="K50" i="44"/>
  <c r="H58" i="44"/>
  <c r="K58" i="44" s="1"/>
  <c r="F57" i="44"/>
  <c r="L130" i="44"/>
  <c r="L166" i="44"/>
  <c r="Q248" i="45"/>
  <c r="O356" i="45"/>
  <c r="F114" i="42"/>
  <c r="F74" i="42"/>
  <c r="F80" i="42" s="1"/>
  <c r="J39" i="44"/>
  <c r="N39" i="44"/>
  <c r="B28" i="44"/>
  <c r="B30" i="44" s="1"/>
  <c r="J61" i="44"/>
  <c r="Q49" i="44"/>
  <c r="K49" i="44"/>
  <c r="L84" i="44"/>
  <c r="AF77" i="46"/>
  <c r="R14" i="41"/>
  <c r="R15" i="41" s="1"/>
  <c r="R16" i="41" s="1"/>
  <c r="R17" i="41" s="1"/>
  <c r="R18" i="41" s="1"/>
  <c r="R19" i="41" s="1"/>
  <c r="R20" i="41" s="1"/>
  <c r="R21" i="41" s="1"/>
  <c r="R22" i="41" s="1"/>
  <c r="R23" i="41" s="1"/>
  <c r="R24" i="41" s="1"/>
  <c r="R25" i="41" s="1"/>
  <c r="R37" i="41" s="1"/>
  <c r="F23" i="41"/>
  <c r="F55" i="41"/>
  <c r="F89" i="41"/>
  <c r="R135" i="41"/>
  <c r="Q158" i="41"/>
  <c r="G116" i="42"/>
  <c r="I167" i="43"/>
  <c r="I173" i="43" s="1"/>
  <c r="H256" i="43"/>
  <c r="H258" i="43" s="1"/>
  <c r="H215" i="43"/>
  <c r="H221" i="43" s="1"/>
  <c r="H14" i="43" s="1"/>
  <c r="H17" i="43" s="1"/>
  <c r="R38" i="44"/>
  <c r="Q53" i="44"/>
  <c r="K53" i="44"/>
  <c r="H138" i="44"/>
  <c r="K138" i="44" s="1"/>
  <c r="K71" i="45"/>
  <c r="E140" i="42"/>
  <c r="E132" i="43"/>
  <c r="E133" i="43" s="1"/>
  <c r="E140" i="43" s="1"/>
  <c r="G133" i="43"/>
  <c r="G181" i="43"/>
  <c r="G167" i="43"/>
  <c r="G173" i="43" s="1"/>
  <c r="F256" i="43"/>
  <c r="F215" i="43"/>
  <c r="F221" i="43" s="1"/>
  <c r="F257" i="43"/>
  <c r="E257" i="43" s="1"/>
  <c r="H306" i="43"/>
  <c r="H312" i="43" s="1"/>
  <c r="E312" i="43" s="1"/>
  <c r="E300" i="43"/>
  <c r="E306" i="43" s="1"/>
  <c r="Q52" i="44"/>
  <c r="K52" i="44"/>
  <c r="Q57" i="44"/>
  <c r="Q60" i="44"/>
  <c r="K60" i="44"/>
  <c r="L85" i="44"/>
  <c r="L86" i="44" s="1"/>
  <c r="L162" i="44"/>
  <c r="H182" i="43"/>
  <c r="E235" i="43"/>
  <c r="E242" i="43" s="1"/>
  <c r="E282" i="43"/>
  <c r="E286" i="43" s="1"/>
  <c r="Q51" i="44"/>
  <c r="K51" i="44"/>
  <c r="Q55" i="44"/>
  <c r="H59" i="44"/>
  <c r="K59" i="44" s="1"/>
  <c r="Q141" i="44"/>
  <c r="R129" i="44"/>
  <c r="L131" i="44"/>
  <c r="L133" i="44"/>
  <c r="D28" i="44"/>
  <c r="F137" i="44"/>
  <c r="F171" i="44"/>
  <c r="H201" i="44"/>
  <c r="K201" i="44" s="1"/>
  <c r="Q251" i="45"/>
  <c r="O251" i="45"/>
  <c r="O271" i="45" s="1"/>
  <c r="Q260" i="45"/>
  <c r="O332" i="45"/>
  <c r="O72" i="46"/>
  <c r="L163" i="44"/>
  <c r="K207" i="44"/>
  <c r="Q207" i="44"/>
  <c r="O26" i="45"/>
  <c r="K80" i="45"/>
  <c r="K82" i="45"/>
  <c r="O357" i="45"/>
  <c r="O391" i="45" s="1"/>
  <c r="L195" i="44"/>
  <c r="L196" i="44" s="1"/>
  <c r="L197" i="44" s="1"/>
  <c r="L198" i="44" s="1"/>
  <c r="L199" i="44" s="1"/>
  <c r="R195" i="44"/>
  <c r="R196" i="44" s="1"/>
  <c r="O82" i="45"/>
  <c r="O355" i="45"/>
  <c r="Q323" i="45"/>
  <c r="R21" i="46"/>
  <c r="X21" i="46" s="1"/>
  <c r="AF21" i="46" s="1"/>
  <c r="M75" i="45"/>
  <c r="M388" i="45"/>
  <c r="M359" i="45"/>
  <c r="Q161" i="45"/>
  <c r="M179" i="45"/>
  <c r="M199" i="45" s="1"/>
  <c r="O188" i="45"/>
  <c r="Q188" i="45"/>
  <c r="M224" i="45"/>
  <c r="M235" i="45" s="1"/>
  <c r="M365" i="45"/>
  <c r="M390" i="45" s="1"/>
  <c r="Q269" i="45"/>
  <c r="Q287" i="45"/>
  <c r="Q296" i="45"/>
  <c r="Q332" i="45"/>
  <c r="Q377" i="45"/>
  <c r="M389" i="45"/>
  <c r="R13" i="46"/>
  <c r="X13" i="46" s="1"/>
  <c r="AF13" i="46" s="1"/>
  <c r="R15" i="46"/>
  <c r="X15" i="46" s="1"/>
  <c r="AF15" i="46" s="1"/>
  <c r="H205" i="44"/>
  <c r="K205" i="44" s="1"/>
  <c r="K72" i="45"/>
  <c r="K79" i="45"/>
  <c r="O25" i="45"/>
  <c r="K163" i="45"/>
  <c r="Q152" i="45"/>
  <c r="O365" i="45"/>
  <c r="O368" i="45" s="1"/>
  <c r="Q305" i="45"/>
  <c r="M391" i="45"/>
  <c r="Q357" i="45"/>
  <c r="F200" i="44"/>
  <c r="H200" i="44" s="1"/>
  <c r="K200" i="44" s="1"/>
  <c r="H203" i="44"/>
  <c r="K203" i="44" s="1"/>
  <c r="Q93" i="45"/>
  <c r="Q57" i="45"/>
  <c r="Q59" i="45" s="1"/>
  <c r="Q143" i="45"/>
  <c r="M143" i="45"/>
  <c r="M163" i="45" s="1"/>
  <c r="Q215" i="45"/>
  <c r="K235" i="45"/>
  <c r="Q224" i="45"/>
  <c r="O287" i="45"/>
  <c r="O307" i="45" s="1"/>
  <c r="O323" i="45"/>
  <c r="O343" i="45" s="1"/>
  <c r="M343" i="45"/>
  <c r="K359" i="45"/>
  <c r="K365" i="45"/>
  <c r="K390" i="45" s="1"/>
  <c r="K393" i="45" s="1"/>
  <c r="P12" i="46"/>
  <c r="O143" i="45"/>
  <c r="O163" i="45" s="1"/>
  <c r="O179" i="45"/>
  <c r="O199" i="45" s="1"/>
  <c r="Q356" i="45"/>
  <c r="Q363" i="45"/>
  <c r="G72" i="46"/>
  <c r="J12" i="46"/>
  <c r="R18" i="46"/>
  <c r="X18" i="46" s="1"/>
  <c r="AF18" i="46" s="1"/>
  <c r="R20" i="46"/>
  <c r="X20" i="46" s="1"/>
  <c r="AF20" i="46" s="1"/>
  <c r="R34" i="46"/>
  <c r="X34" i="46" s="1"/>
  <c r="AF34" i="46" s="1"/>
  <c r="I72" i="46"/>
  <c r="P21" i="46"/>
  <c r="J28" i="46"/>
  <c r="R28" i="46" s="1"/>
  <c r="X28" i="46" s="1"/>
  <c r="AF28" i="46" s="1"/>
  <c r="P33" i="46"/>
  <c r="R33" i="46" s="1"/>
  <c r="X33" i="46" s="1"/>
  <c r="AF33" i="46" s="1"/>
  <c r="R41" i="46"/>
  <c r="X41" i="46" s="1"/>
  <c r="AF41" i="46" s="1"/>
  <c r="J44" i="46"/>
  <c r="R44" i="46" s="1"/>
  <c r="X44" i="46" s="1"/>
  <c r="AF44" i="46" s="1"/>
  <c r="P49" i="46"/>
  <c r="R49" i="46" s="1"/>
  <c r="X49" i="46" s="1"/>
  <c r="AF49" i="46" s="1"/>
  <c r="R50" i="46"/>
  <c r="X50" i="46" s="1"/>
  <c r="AF50" i="46" s="1"/>
  <c r="O116" i="46"/>
  <c r="M72" i="46"/>
  <c r="M118" i="46" s="1"/>
  <c r="P13" i="46"/>
  <c r="J16" i="46"/>
  <c r="R16" i="46" s="1"/>
  <c r="X16" i="46" s="1"/>
  <c r="AF16" i="46" s="1"/>
  <c r="R22" i="46"/>
  <c r="X22" i="46" s="1"/>
  <c r="AF22" i="46" s="1"/>
  <c r="J24" i="46"/>
  <c r="R24" i="46" s="1"/>
  <c r="X24" i="46" s="1"/>
  <c r="AF24" i="46" s="1"/>
  <c r="R25" i="46"/>
  <c r="X25" i="46" s="1"/>
  <c r="AF25" i="46" s="1"/>
  <c r="J32" i="46"/>
  <c r="R32" i="46" s="1"/>
  <c r="X32" i="46" s="1"/>
  <c r="AF32" i="46" s="1"/>
  <c r="P37" i="46"/>
  <c r="R37" i="46" s="1"/>
  <c r="X37" i="46" s="1"/>
  <c r="AF37" i="46" s="1"/>
  <c r="R38" i="46"/>
  <c r="X38" i="46" s="1"/>
  <c r="AF38" i="46" s="1"/>
  <c r="J48" i="46"/>
  <c r="R48" i="46" s="1"/>
  <c r="X48" i="46" s="1"/>
  <c r="AF48" i="46" s="1"/>
  <c r="P53" i="46"/>
  <c r="R53" i="46" s="1"/>
  <c r="X53" i="46" s="1"/>
  <c r="AF53" i="46" s="1"/>
  <c r="R64" i="46"/>
  <c r="X64" i="46" s="1"/>
  <c r="AF64" i="46" s="1"/>
  <c r="X87" i="46"/>
  <c r="AF87" i="46" s="1"/>
  <c r="V87" i="46"/>
  <c r="R70" i="46"/>
  <c r="X70" i="46" s="1"/>
  <c r="AF70" i="46" s="1"/>
  <c r="G92" i="46"/>
  <c r="P79" i="46"/>
  <c r="P88" i="46"/>
  <c r="R88" i="46" s="1"/>
  <c r="X88" i="46" s="1"/>
  <c r="AF88" i="46" s="1"/>
  <c r="J91" i="46"/>
  <c r="R91" i="46" s="1"/>
  <c r="X91" i="46" s="1"/>
  <c r="AF91" i="46" s="1"/>
  <c r="P96" i="46"/>
  <c r="P116" i="46" s="1"/>
  <c r="J99" i="46"/>
  <c r="R99" i="46" s="1"/>
  <c r="X99" i="46" s="1"/>
  <c r="AF99" i="46" s="1"/>
  <c r="R101" i="46"/>
  <c r="X101" i="46" s="1"/>
  <c r="AF101" i="46" s="1"/>
  <c r="R104" i="46"/>
  <c r="X104" i="46" s="1"/>
  <c r="AF104" i="46" s="1"/>
  <c r="P112" i="46"/>
  <c r="J115" i="46"/>
  <c r="R115" i="46" s="1"/>
  <c r="X115" i="46" s="1"/>
  <c r="AF115" i="46" s="1"/>
  <c r="R62" i="46"/>
  <c r="X62" i="46" s="1"/>
  <c r="AF62" i="46" s="1"/>
  <c r="I92" i="46"/>
  <c r="G116" i="46"/>
  <c r="R100" i="46"/>
  <c r="X100" i="46" s="1"/>
  <c r="AF100" i="46" s="1"/>
  <c r="P54" i="46"/>
  <c r="R54" i="46" s="1"/>
  <c r="X54" i="46" s="1"/>
  <c r="AF54" i="46" s="1"/>
  <c r="P70" i="46"/>
  <c r="R76" i="46"/>
  <c r="R79" i="46"/>
  <c r="J81" i="46"/>
  <c r="P85" i="46"/>
  <c r="R85" i="46" s="1"/>
  <c r="X85" i="46" s="1"/>
  <c r="AF85" i="46" s="1"/>
  <c r="I116" i="46"/>
  <c r="R96" i="46"/>
  <c r="X96" i="46" s="1"/>
  <c r="AF96" i="46" s="1"/>
  <c r="P104" i="46"/>
  <c r="J107" i="46"/>
  <c r="R107" i="46" s="1"/>
  <c r="X107" i="46" s="1"/>
  <c r="AF107" i="46" s="1"/>
  <c r="R109" i="46"/>
  <c r="X109" i="46" s="1"/>
  <c r="AF109" i="46" s="1"/>
  <c r="R112" i="46"/>
  <c r="X112" i="46" s="1"/>
  <c r="AF112" i="46" s="1"/>
  <c r="J95" i="46"/>
  <c r="Q343" i="45" l="1"/>
  <c r="Q163" i="45"/>
  <c r="P60" i="44"/>
  <c r="P49" i="44"/>
  <c r="R49" i="44" s="1"/>
  <c r="R50" i="44" s="1"/>
  <c r="R51" i="44" s="1"/>
  <c r="R52" i="44" s="1"/>
  <c r="R53" i="44" s="1"/>
  <c r="P52" i="44"/>
  <c r="P59" i="44"/>
  <c r="P53" i="44"/>
  <c r="P51" i="44"/>
  <c r="P50" i="44"/>
  <c r="R38" i="41"/>
  <c r="H86" i="1" s="1"/>
  <c r="O207" i="44"/>
  <c r="R18" i="44"/>
  <c r="R19" i="44" s="1"/>
  <c r="R20" i="44" s="1"/>
  <c r="R21" i="44" s="1"/>
  <c r="R22" i="44" s="1"/>
  <c r="R23" i="44" s="1"/>
  <c r="R24" i="44" s="1"/>
  <c r="R25" i="44" s="1"/>
  <c r="R26" i="44" s="1"/>
  <c r="R27" i="44" s="1"/>
  <c r="R39" i="44" s="1"/>
  <c r="R40" i="44" s="1"/>
  <c r="N113" i="44" s="1"/>
  <c r="P174" i="44"/>
  <c r="P141" i="44"/>
  <c r="P28" i="44"/>
  <c r="R163" i="44"/>
  <c r="R164" i="44" s="1"/>
  <c r="R165" i="44" s="1"/>
  <c r="R166" i="44" s="1"/>
  <c r="R167" i="44" s="1"/>
  <c r="R168" i="44" s="1"/>
  <c r="R169" i="44" s="1"/>
  <c r="R170" i="44" s="1"/>
  <c r="R171" i="44" s="1"/>
  <c r="R172" i="44" s="1"/>
  <c r="R173" i="44" s="1"/>
  <c r="R185" i="44" s="1"/>
  <c r="R186" i="44" s="1"/>
  <c r="N227" i="44" s="1"/>
  <c r="O94" i="44"/>
  <c r="P85" i="44"/>
  <c r="P94" i="44" s="1"/>
  <c r="O141" i="44"/>
  <c r="R137" i="41"/>
  <c r="P197" i="44"/>
  <c r="P207" i="44" s="1"/>
  <c r="R197" i="44"/>
  <c r="R198" i="44" s="1"/>
  <c r="R199" i="44" s="1"/>
  <c r="R200" i="44" s="1"/>
  <c r="R201" i="44" s="1"/>
  <c r="R202" i="44" s="1"/>
  <c r="R203" i="44" s="1"/>
  <c r="R204" i="44" s="1"/>
  <c r="R205" i="44" s="1"/>
  <c r="R206" i="44" s="1"/>
  <c r="R218" i="44" s="1"/>
  <c r="R219" i="44" s="1"/>
  <c r="N228" i="44" s="1"/>
  <c r="O28" i="44"/>
  <c r="R83" i="44"/>
  <c r="R84" i="44" s="1"/>
  <c r="O174" i="44"/>
  <c r="R130" i="44"/>
  <c r="R131" i="44" s="1"/>
  <c r="R132" i="44" s="1"/>
  <c r="R133" i="44" s="1"/>
  <c r="R134" i="44" s="1"/>
  <c r="R135" i="44" s="1"/>
  <c r="R136" i="44" s="1"/>
  <c r="R137" i="44" s="1"/>
  <c r="R138" i="44" s="1"/>
  <c r="R139" i="44" s="1"/>
  <c r="R140" i="44" s="1"/>
  <c r="R152" i="44" s="1"/>
  <c r="R153" i="44" s="1"/>
  <c r="N226" i="44" s="1"/>
  <c r="E145" i="42"/>
  <c r="Q307" i="45"/>
  <c r="M368" i="45"/>
  <c r="M379" i="45" s="1"/>
  <c r="M95" i="45"/>
  <c r="V79" i="46"/>
  <c r="V92" i="46" s="1"/>
  <c r="V118" i="46" s="1"/>
  <c r="X79" i="46"/>
  <c r="O389" i="45"/>
  <c r="Q355" i="45"/>
  <c r="F111" i="43"/>
  <c r="E109" i="43"/>
  <c r="E111" i="43" s="1"/>
  <c r="I118" i="46"/>
  <c r="J72" i="46"/>
  <c r="R12" i="46"/>
  <c r="K368" i="45"/>
  <c r="X76" i="46"/>
  <c r="G118" i="46"/>
  <c r="K379" i="45"/>
  <c r="L213" i="44"/>
  <c r="L215" i="44" s="1"/>
  <c r="L209" i="44"/>
  <c r="L211" i="44" s="1"/>
  <c r="O80" i="45"/>
  <c r="Q271" i="45"/>
  <c r="H137" i="44"/>
  <c r="K137" i="44" s="1"/>
  <c r="F136" i="44"/>
  <c r="E114" i="42"/>
  <c r="E116" i="42" s="1"/>
  <c r="F116" i="42"/>
  <c r="F182" i="43"/>
  <c r="P92" i="46"/>
  <c r="H185" i="42"/>
  <c r="H145" i="42"/>
  <c r="H23" i="44"/>
  <c r="K23" i="44" s="1"/>
  <c r="F22" i="44"/>
  <c r="H155" i="41"/>
  <c r="K155" i="41" s="1"/>
  <c r="F154" i="41"/>
  <c r="L118" i="41"/>
  <c r="L119" i="41" s="1"/>
  <c r="L120" i="41" s="1"/>
  <c r="L121" i="41" s="1"/>
  <c r="L122" i="41" s="1"/>
  <c r="L123" i="41" s="1"/>
  <c r="L124" i="41" s="1"/>
  <c r="L136" i="41" s="1"/>
  <c r="R95" i="46"/>
  <c r="J116" i="46"/>
  <c r="Q235" i="45"/>
  <c r="L200" i="44"/>
  <c r="L201" i="44" s="1"/>
  <c r="L202" i="44" s="1"/>
  <c r="L203" i="44" s="1"/>
  <c r="L204" i="44" s="1"/>
  <c r="L205" i="44" s="1"/>
  <c r="L206" i="44" s="1"/>
  <c r="L218" i="44" s="1"/>
  <c r="O79" i="45"/>
  <c r="L180" i="44"/>
  <c r="L182" i="44" s="1"/>
  <c r="L176" i="44"/>
  <c r="L178" i="44" s="1"/>
  <c r="M393" i="45"/>
  <c r="Q179" i="45"/>
  <c r="Q199" i="45" s="1"/>
  <c r="E221" i="43"/>
  <c r="F14" i="43"/>
  <c r="E14" i="43" s="1"/>
  <c r="L127" i="41" s="1"/>
  <c r="L129" i="41" s="1"/>
  <c r="G140" i="43"/>
  <c r="G146" i="43" s="1"/>
  <c r="G13" i="43" s="1"/>
  <c r="G17" i="43" s="1"/>
  <c r="G180" i="43"/>
  <c r="G182" i="43" s="1"/>
  <c r="F54" i="41"/>
  <c r="H55" i="41"/>
  <c r="K55" i="41" s="1"/>
  <c r="L49" i="44"/>
  <c r="L50" i="44" s="1"/>
  <c r="L51" i="44" s="1"/>
  <c r="L52" i="44" s="1"/>
  <c r="L53" i="44" s="1"/>
  <c r="O390" i="45"/>
  <c r="H57" i="44"/>
  <c r="K57" i="44" s="1"/>
  <c r="P57" i="44" s="1"/>
  <c r="F56" i="44"/>
  <c r="E173" i="43"/>
  <c r="K34" i="45"/>
  <c r="K125" i="41"/>
  <c r="O118" i="46"/>
  <c r="O104" i="45"/>
  <c r="F11" i="42"/>
  <c r="F13" i="43"/>
  <c r="H89" i="41"/>
  <c r="K89" i="41" s="1"/>
  <c r="P89" i="41" s="1"/>
  <c r="F88" i="41"/>
  <c r="B31" i="44"/>
  <c r="B32" i="44" s="1"/>
  <c r="R81" i="46"/>
  <c r="X81" i="46" s="1"/>
  <c r="AF81" i="46" s="1"/>
  <c r="J92" i="46"/>
  <c r="P72" i="46"/>
  <c r="O354" i="45"/>
  <c r="H171" i="44"/>
  <c r="K171" i="44" s="1"/>
  <c r="F170" i="44"/>
  <c r="F258" i="43"/>
  <c r="E256" i="43"/>
  <c r="E258" i="43" s="1"/>
  <c r="K104" i="45"/>
  <c r="F22" i="41"/>
  <c r="H23" i="41"/>
  <c r="K23" i="41" s="1"/>
  <c r="Q61" i="44"/>
  <c r="E181" i="43"/>
  <c r="F90" i="44"/>
  <c r="H91" i="44"/>
  <c r="K91" i="44" s="1"/>
  <c r="E261" i="42"/>
  <c r="E263" i="42" s="1"/>
  <c r="L48" i="41"/>
  <c r="L49" i="41" s="1"/>
  <c r="L50" i="41" s="1"/>
  <c r="L51" i="41" s="1"/>
  <c r="F11" i="43"/>
  <c r="E75" i="43"/>
  <c r="B29" i="41"/>
  <c r="B30" i="41" s="1"/>
  <c r="N230" i="44" l="1"/>
  <c r="R85" i="44"/>
  <c r="R86" i="44" s="1"/>
  <c r="R87" i="44" s="1"/>
  <c r="R88" i="44" s="1"/>
  <c r="R89" i="44" s="1"/>
  <c r="R90" i="44" s="1"/>
  <c r="R91" i="44" s="1"/>
  <c r="R92" i="44" s="1"/>
  <c r="R93" i="44" s="1"/>
  <c r="R105" i="44" s="1"/>
  <c r="R106" i="44" s="1"/>
  <c r="N115" i="44" s="1"/>
  <c r="E13" i="43"/>
  <c r="L94" i="41" s="1"/>
  <c r="L96" i="41" s="1"/>
  <c r="E146" i="43"/>
  <c r="B32" i="41"/>
  <c r="F17" i="43"/>
  <c r="E11" i="43"/>
  <c r="O359" i="45"/>
  <c r="O379" i="45" s="1"/>
  <c r="O388" i="45"/>
  <c r="H88" i="41"/>
  <c r="K88" i="41" s="1"/>
  <c r="P88" i="41" s="1"/>
  <c r="F87" i="41"/>
  <c r="H22" i="44"/>
  <c r="K22" i="44" s="1"/>
  <c r="F21" i="44"/>
  <c r="H21" i="44" s="1"/>
  <c r="K21" i="44" s="1"/>
  <c r="AF79" i="46"/>
  <c r="X123" i="46"/>
  <c r="N30" i="41"/>
  <c r="H170" i="44"/>
  <c r="K170" i="44" s="1"/>
  <c r="F169" i="44"/>
  <c r="P118" i="46"/>
  <c r="J32" i="44"/>
  <c r="F17" i="42"/>
  <c r="E180" i="43"/>
  <c r="E182" i="43" s="1"/>
  <c r="R116" i="46"/>
  <c r="X95" i="46"/>
  <c r="H136" i="44"/>
  <c r="K136" i="44" s="1"/>
  <c r="F135" i="44"/>
  <c r="K88" i="45"/>
  <c r="Q368" i="45"/>
  <c r="H154" i="41"/>
  <c r="K154" i="41" s="1"/>
  <c r="F153" i="41"/>
  <c r="L217" i="44"/>
  <c r="L219" i="44" s="1"/>
  <c r="H228" i="44" s="1"/>
  <c r="R72" i="46"/>
  <c r="R118" i="46" s="1"/>
  <c r="X12" i="46"/>
  <c r="R92" i="46"/>
  <c r="B34" i="44"/>
  <c r="J30" i="41"/>
  <c r="H90" i="44"/>
  <c r="K90" i="44" s="1"/>
  <c r="F89" i="44"/>
  <c r="H22" i="41"/>
  <c r="K22" i="41" s="1"/>
  <c r="F21" i="41"/>
  <c r="N32" i="44"/>
  <c r="F55" i="44"/>
  <c r="H56" i="44"/>
  <c r="K56" i="44" s="1"/>
  <c r="P56" i="44" s="1"/>
  <c r="H54" i="41"/>
  <c r="K54" i="41" s="1"/>
  <c r="F53" i="41"/>
  <c r="L184" i="44"/>
  <c r="H187" i="42"/>
  <c r="E185" i="42"/>
  <c r="E187" i="42" s="1"/>
  <c r="X92" i="46"/>
  <c r="AF76" i="46"/>
  <c r="X121" i="46"/>
  <c r="J118" i="46"/>
  <c r="P92" i="41" l="1"/>
  <c r="R88" i="41"/>
  <c r="R89" i="41" s="1"/>
  <c r="R90" i="41" s="1"/>
  <c r="R91" i="41" s="1"/>
  <c r="R103" i="41" s="1"/>
  <c r="H153" i="41"/>
  <c r="K153" i="41" s="1"/>
  <c r="F152" i="41"/>
  <c r="L21" i="44"/>
  <c r="K28" i="44"/>
  <c r="Q359" i="45"/>
  <c r="Q379" i="45" s="1"/>
  <c r="L147" i="44"/>
  <c r="L149" i="44" s="1"/>
  <c r="L151" i="44" s="1"/>
  <c r="H55" i="44"/>
  <c r="K55" i="44" s="1"/>
  <c r="P55" i="44" s="1"/>
  <c r="F54" i="44"/>
  <c r="H54" i="44" s="1"/>
  <c r="K54" i="44" s="1"/>
  <c r="P54" i="44" s="1"/>
  <c r="H89" i="44"/>
  <c r="K89" i="44" s="1"/>
  <c r="F88" i="44"/>
  <c r="AF95" i="46"/>
  <c r="X116" i="46"/>
  <c r="L22" i="44"/>
  <c r="L23" i="44" s="1"/>
  <c r="L24" i="44" s="1"/>
  <c r="L25" i="44" s="1"/>
  <c r="L26" i="44" s="1"/>
  <c r="L27" i="44" s="1"/>
  <c r="L39" i="44" s="1"/>
  <c r="O393" i="45"/>
  <c r="L304" i="9" s="1"/>
  <c r="H264" i="1" s="1"/>
  <c r="Q393" i="45"/>
  <c r="N34" i="41"/>
  <c r="B33" i="41"/>
  <c r="B34" i="41" s="1"/>
  <c r="J34" i="41"/>
  <c r="AF92" i="46"/>
  <c r="K36" i="45"/>
  <c r="AF121" i="46"/>
  <c r="N36" i="44"/>
  <c r="B35" i="44"/>
  <c r="B36" i="44" s="1"/>
  <c r="J36" i="44"/>
  <c r="H87" i="41"/>
  <c r="K87" i="41" s="1"/>
  <c r="F86" i="41"/>
  <c r="H53" i="41"/>
  <c r="K53" i="41" s="1"/>
  <c r="F52" i="41"/>
  <c r="H52" i="41" s="1"/>
  <c r="K52" i="41" s="1"/>
  <c r="H21" i="41"/>
  <c r="K21" i="41" s="1"/>
  <c r="F20" i="41"/>
  <c r="X72" i="46"/>
  <c r="X118" i="46" s="1"/>
  <c r="X124" i="46"/>
  <c r="X126" i="46" s="1"/>
  <c r="X128" i="46" s="1"/>
  <c r="AF12" i="46"/>
  <c r="H135" i="44"/>
  <c r="K135" i="44" s="1"/>
  <c r="F134" i="44"/>
  <c r="H134" i="44" s="1"/>
  <c r="K134" i="44" s="1"/>
  <c r="H169" i="44"/>
  <c r="K169" i="44" s="1"/>
  <c r="F168" i="44"/>
  <c r="K27" i="45"/>
  <c r="AF123" i="46"/>
  <c r="E17" i="43"/>
  <c r="L28" i="41"/>
  <c r="L30" i="41" s="1"/>
  <c r="P61" i="44" l="1"/>
  <c r="R54" i="44"/>
  <c r="R55" i="44" s="1"/>
  <c r="R56" i="44" s="1"/>
  <c r="R57" i="44" s="1"/>
  <c r="R58" i="44" s="1"/>
  <c r="R59" i="44" s="1"/>
  <c r="R60" i="44" s="1"/>
  <c r="R72" i="44" s="1"/>
  <c r="R73" i="44" s="1"/>
  <c r="N114" i="44" s="1"/>
  <c r="N117" i="44" s="1"/>
  <c r="H86" i="41"/>
  <c r="K86" i="41" s="1"/>
  <c r="F85" i="41"/>
  <c r="H85" i="41" s="1"/>
  <c r="K85" i="41" s="1"/>
  <c r="B38" i="44"/>
  <c r="N38" i="44"/>
  <c r="J38" i="44"/>
  <c r="B36" i="41"/>
  <c r="N36" i="41"/>
  <c r="J36" i="41"/>
  <c r="H88" i="44"/>
  <c r="K88" i="44" s="1"/>
  <c r="F87" i="44"/>
  <c r="H87" i="44" s="1"/>
  <c r="K87" i="44" s="1"/>
  <c r="H152" i="41"/>
  <c r="K152" i="41" s="1"/>
  <c r="F151" i="41"/>
  <c r="H151" i="41" s="1"/>
  <c r="K151" i="41" s="1"/>
  <c r="K81" i="45"/>
  <c r="K30" i="45"/>
  <c r="H20" i="41"/>
  <c r="K20" i="41" s="1"/>
  <c r="F19" i="41"/>
  <c r="H19" i="41" s="1"/>
  <c r="K19" i="41" s="1"/>
  <c r="L52" i="41"/>
  <c r="K59" i="41"/>
  <c r="K90" i="45"/>
  <c r="K93" i="45" s="1"/>
  <c r="K39" i="45"/>
  <c r="F167" i="44"/>
  <c r="H167" i="44" s="1"/>
  <c r="K167" i="44" s="1"/>
  <c r="H168" i="44"/>
  <c r="K168" i="44" s="1"/>
  <c r="L134" i="44"/>
  <c r="L135" i="44" s="1"/>
  <c r="L136" i="44" s="1"/>
  <c r="L137" i="44" s="1"/>
  <c r="L138" i="44" s="1"/>
  <c r="L139" i="44" s="1"/>
  <c r="L140" i="44" s="1"/>
  <c r="L152" i="44" s="1"/>
  <c r="L153" i="44" s="1"/>
  <c r="H226" i="44" s="1"/>
  <c r="K141" i="44"/>
  <c r="AF124" i="46"/>
  <c r="AF126" i="46" s="1"/>
  <c r="AF128" i="46" s="1"/>
  <c r="K16" i="45"/>
  <c r="AF72" i="46"/>
  <c r="AF118" i="46" s="1"/>
  <c r="L53" i="41"/>
  <c r="L54" i="41" s="1"/>
  <c r="L55" i="41" s="1"/>
  <c r="L56" i="41" s="1"/>
  <c r="L57" i="41" s="1"/>
  <c r="L58" i="41" s="1"/>
  <c r="L70" i="41" s="1"/>
  <c r="L71" i="41" s="1"/>
  <c r="AF116" i="46"/>
  <c r="K19" i="45"/>
  <c r="L54" i="44"/>
  <c r="L55" i="44" s="1"/>
  <c r="L56" i="44" s="1"/>
  <c r="L57" i="44" s="1"/>
  <c r="L58" i="44" s="1"/>
  <c r="L59" i="44" s="1"/>
  <c r="L60" i="44" s="1"/>
  <c r="L72" i="44" s="1"/>
  <c r="K61" i="44"/>
  <c r="L19" i="41" l="1"/>
  <c r="K26" i="41"/>
  <c r="K84" i="45"/>
  <c r="K105" i="45"/>
  <c r="L85" i="41"/>
  <c r="L86" i="41" s="1"/>
  <c r="L87" i="41" s="1"/>
  <c r="L88" i="41" s="1"/>
  <c r="L89" i="41" s="1"/>
  <c r="L90" i="41" s="1"/>
  <c r="L91" i="41" s="1"/>
  <c r="L103" i="41" s="1"/>
  <c r="K92" i="41"/>
  <c r="K73" i="45"/>
  <c r="K106" i="45" s="1"/>
  <c r="L20" i="41"/>
  <c r="L21" i="41" s="1"/>
  <c r="L22" i="41" s="1"/>
  <c r="L23" i="41" s="1"/>
  <c r="L24" i="41" s="1"/>
  <c r="L25" i="41" s="1"/>
  <c r="L37" i="41" s="1"/>
  <c r="L151" i="41"/>
  <c r="L152" i="41" s="1"/>
  <c r="L153" i="41" s="1"/>
  <c r="L154" i="41" s="1"/>
  <c r="L155" i="41" s="1"/>
  <c r="L156" i="41" s="1"/>
  <c r="L157" i="41" s="1"/>
  <c r="L169" i="41" s="1"/>
  <c r="L170" i="41" s="1"/>
  <c r="K158" i="41"/>
  <c r="K70" i="45"/>
  <c r="K21" i="45"/>
  <c r="K41" i="45" s="1"/>
  <c r="L167" i="44"/>
  <c r="L168" i="44" s="1"/>
  <c r="L169" i="44" s="1"/>
  <c r="L170" i="44" s="1"/>
  <c r="L171" i="44" s="1"/>
  <c r="L172" i="44" s="1"/>
  <c r="L173" i="44" s="1"/>
  <c r="L185" i="44" s="1"/>
  <c r="L186" i="44" s="1"/>
  <c r="H227" i="44" s="1"/>
  <c r="H230" i="44" s="1"/>
  <c r="H95" i="1" s="1"/>
  <c r="K174" i="44"/>
  <c r="L59" i="41"/>
  <c r="O30" i="45"/>
  <c r="O105" i="45"/>
  <c r="L87" i="44"/>
  <c r="L88" i="44" s="1"/>
  <c r="L89" i="44" s="1"/>
  <c r="L90" i="44" s="1"/>
  <c r="L91" i="44" s="1"/>
  <c r="L92" i="44" s="1"/>
  <c r="L93" i="44" s="1"/>
  <c r="L105" i="44" s="1"/>
  <c r="K94" i="44"/>
  <c r="J38" i="41"/>
  <c r="B37" i="41"/>
  <c r="B38" i="41" s="1"/>
  <c r="B45" i="41" s="1"/>
  <c r="B47" i="41" s="1"/>
  <c r="B39" i="44"/>
  <c r="B40" i="44" s="1"/>
  <c r="F113" i="44" l="1"/>
  <c r="L113" i="44"/>
  <c r="B47" i="44"/>
  <c r="B49" i="44" s="1"/>
  <c r="J40" i="44"/>
  <c r="L67" i="44"/>
  <c r="L69" i="44" s="1"/>
  <c r="L71" i="44" s="1"/>
  <c r="L73" i="44" s="1"/>
  <c r="H114" i="44" s="1"/>
  <c r="K103" i="45"/>
  <c r="K108" i="45" s="1"/>
  <c r="K75" i="45"/>
  <c r="K95" i="45" s="1"/>
  <c r="B48" i="41"/>
  <c r="B49" i="41" s="1"/>
  <c r="B50" i="41" s="1"/>
  <c r="B51" i="41" s="1"/>
  <c r="B52" i="41" s="1"/>
  <c r="B53" i="41" s="1"/>
  <c r="B54" i="41" s="1"/>
  <c r="B55" i="41" s="1"/>
  <c r="B56" i="41" s="1"/>
  <c r="B57" i="41" s="1"/>
  <c r="B58" i="41" s="1"/>
  <c r="Q84" i="45"/>
  <c r="O84" i="45"/>
  <c r="O103" i="45"/>
  <c r="O21" i="45"/>
  <c r="O41" i="45" s="1"/>
  <c r="N40" i="44"/>
  <c r="N38" i="41"/>
  <c r="L100" i="44"/>
  <c r="L102" i="44" s="1"/>
  <c r="L104" i="44" s="1"/>
  <c r="L106" i="44" s="1"/>
  <c r="H115" i="44" s="1"/>
  <c r="O106" i="45"/>
  <c r="B50" i="44" l="1"/>
  <c r="B51" i="44" s="1"/>
  <c r="B52" i="44" s="1"/>
  <c r="B53" i="44" s="1"/>
  <c r="B54" i="44" s="1"/>
  <c r="B55" i="44" s="1"/>
  <c r="B56" i="44" s="1"/>
  <c r="B57" i="44" s="1"/>
  <c r="B58" i="44" s="1"/>
  <c r="B59" i="44" s="1"/>
  <c r="B60" i="44" s="1"/>
  <c r="D61" i="44"/>
  <c r="Q21" i="45"/>
  <c r="Q41" i="45" s="1"/>
  <c r="O108" i="45"/>
  <c r="L303" i="9" s="1"/>
  <c r="H263" i="1" s="1"/>
  <c r="Q108" i="45"/>
  <c r="J70" i="41"/>
  <c r="N70" i="41"/>
  <c r="B59" i="41"/>
  <c r="B61" i="41" s="1"/>
  <c r="O75" i="45"/>
  <c r="O95" i="45" s="1"/>
  <c r="D59" i="41"/>
  <c r="B61" i="44" l="1"/>
  <c r="B63" i="44" s="1"/>
  <c r="J72" i="44"/>
  <c r="N72" i="44"/>
  <c r="B62" i="41"/>
  <c r="B63" i="41" s="1"/>
  <c r="Q75" i="45"/>
  <c r="Q95" i="45" s="1"/>
  <c r="L34" i="44"/>
  <c r="L36" i="44" s="1"/>
  <c r="L38" i="44" s="1"/>
  <c r="L40" i="44" s="1"/>
  <c r="H113" i="44" s="1"/>
  <c r="H117" i="44" s="1"/>
  <c r="H94" i="1" s="1"/>
  <c r="B65" i="41" l="1"/>
  <c r="J63" i="41"/>
  <c r="N63" i="41"/>
  <c r="B64" i="44"/>
  <c r="B65" i="44" s="1"/>
  <c r="J65" i="44"/>
  <c r="B67" i="44" l="1"/>
  <c r="N67" i="41"/>
  <c r="B66" i="41"/>
  <c r="B67" i="41" s="1"/>
  <c r="J67" i="41"/>
  <c r="N65" i="44"/>
  <c r="B68" i="44" l="1"/>
  <c r="B69" i="44" s="1"/>
  <c r="J69" i="44"/>
  <c r="B69" i="41"/>
  <c r="N69" i="41"/>
  <c r="J69" i="41"/>
  <c r="B70" i="41" l="1"/>
  <c r="B71" i="41" s="1"/>
  <c r="B78" i="41" s="1"/>
  <c r="B80" i="41" s="1"/>
  <c r="J71" i="41"/>
  <c r="B71" i="44"/>
  <c r="N71" i="44"/>
  <c r="J71" i="44"/>
  <c r="N69" i="44"/>
  <c r="B81" i="41" l="1"/>
  <c r="B82" i="41" s="1"/>
  <c r="B83" i="41" s="1"/>
  <c r="B84" i="41" s="1"/>
  <c r="B85" i="41" s="1"/>
  <c r="B86" i="41" s="1"/>
  <c r="B87" i="41" s="1"/>
  <c r="B88" i="41" s="1"/>
  <c r="B89" i="41" s="1"/>
  <c r="B90" i="41" s="1"/>
  <c r="B91" i="41" s="1"/>
  <c r="J73" i="44"/>
  <c r="N73" i="44"/>
  <c r="B72" i="44"/>
  <c r="B73" i="44" s="1"/>
  <c r="N71" i="41"/>
  <c r="B92" i="41" l="1"/>
  <c r="B94" i="41" s="1"/>
  <c r="J103" i="41"/>
  <c r="N103" i="41"/>
  <c r="B80" i="44"/>
  <c r="B82" i="44" s="1"/>
  <c r="L114" i="44"/>
  <c r="F114" i="44"/>
  <c r="D92" i="41"/>
  <c r="B83" i="44" l="1"/>
  <c r="B84" i="44" s="1"/>
  <c r="B85" i="44" s="1"/>
  <c r="B86" i="44" s="1"/>
  <c r="B87" i="44" s="1"/>
  <c r="B88" i="44" s="1"/>
  <c r="B89" i="44" s="1"/>
  <c r="B90" i="44" s="1"/>
  <c r="B91" i="44" s="1"/>
  <c r="B92" i="44" s="1"/>
  <c r="B93" i="44" s="1"/>
  <c r="B95" i="41"/>
  <c r="B96" i="41" s="1"/>
  <c r="B98" i="41" l="1"/>
  <c r="N96" i="41"/>
  <c r="N105" i="44"/>
  <c r="B94" i="44"/>
  <c r="B96" i="44" s="1"/>
  <c r="J105" i="44"/>
  <c r="J96" i="41"/>
  <c r="D94" i="44"/>
  <c r="J98" i="44" l="1"/>
  <c r="B97" i="44"/>
  <c r="B98" i="44" s="1"/>
  <c r="B99" i="41"/>
  <c r="B100" i="41" s="1"/>
  <c r="B102" i="41" l="1"/>
  <c r="N102" i="41"/>
  <c r="J102" i="41"/>
  <c r="N100" i="41"/>
  <c r="B100" i="44"/>
  <c r="J100" i="41"/>
  <c r="N98" i="44"/>
  <c r="B101" i="44" l="1"/>
  <c r="B102" i="44" s="1"/>
  <c r="J104" i="41"/>
  <c r="B103" i="41"/>
  <c r="B104" i="41" s="1"/>
  <c r="B111" i="41" s="1"/>
  <c r="B113" i="41" s="1"/>
  <c r="B104" i="44" l="1"/>
  <c r="N104" i="44"/>
  <c r="J104" i="44"/>
  <c r="D125" i="41"/>
  <c r="B114" i="41"/>
  <c r="B115" i="41" s="1"/>
  <c r="B116" i="41" s="1"/>
  <c r="B117" i="41" s="1"/>
  <c r="B118" i="41" s="1"/>
  <c r="B119" i="41" s="1"/>
  <c r="B120" i="41" s="1"/>
  <c r="B121" i="41" s="1"/>
  <c r="B122" i="41" s="1"/>
  <c r="B123" i="41" s="1"/>
  <c r="B124" i="41" s="1"/>
  <c r="N102" i="44"/>
  <c r="N104" i="41"/>
  <c r="J102" i="44"/>
  <c r="N136" i="41" l="1"/>
  <c r="J136" i="41"/>
  <c r="B125" i="41"/>
  <c r="B127" i="41" s="1"/>
  <c r="J106" i="44"/>
  <c r="B105" i="44"/>
  <c r="B106" i="44" s="1"/>
  <c r="N106" i="44"/>
  <c r="B128" i="41" l="1"/>
  <c r="B129" i="41" s="1"/>
  <c r="N129" i="41"/>
  <c r="L115" i="44"/>
  <c r="B113" i="44"/>
  <c r="B114" i="44" s="1"/>
  <c r="B115" i="44" s="1"/>
  <c r="B117" i="44" s="1"/>
  <c r="B127" i="44" s="1"/>
  <c r="B129" i="44" s="1"/>
  <c r="F115" i="44"/>
  <c r="B131" i="41" l="1"/>
  <c r="B130" i="44"/>
  <c r="B131" i="44" s="1"/>
  <c r="B132" i="44" s="1"/>
  <c r="B133" i="44" s="1"/>
  <c r="B134" i="44" s="1"/>
  <c r="B135" i="44" s="1"/>
  <c r="B136" i="44" s="1"/>
  <c r="B137" i="44" s="1"/>
  <c r="B138" i="44" s="1"/>
  <c r="B139" i="44" s="1"/>
  <c r="B140" i="44" s="1"/>
  <c r="J129" i="41"/>
  <c r="B141" i="44" l="1"/>
  <c r="B143" i="44" s="1"/>
  <c r="N152" i="44"/>
  <c r="J152" i="44"/>
  <c r="D141" i="44"/>
  <c r="B132" i="41"/>
  <c r="B133" i="41" s="1"/>
  <c r="B135" i="41" l="1"/>
  <c r="N135" i="41"/>
  <c r="J135" i="41"/>
  <c r="N133" i="41"/>
  <c r="J133" i="41"/>
  <c r="B144" i="44"/>
  <c r="B145" i="44" s="1"/>
  <c r="N145" i="44"/>
  <c r="J145" i="44" l="1"/>
  <c r="B147" i="44"/>
  <c r="B136" i="41"/>
  <c r="B137" i="41" s="1"/>
  <c r="B144" i="41" s="1"/>
  <c r="B146" i="41" s="1"/>
  <c r="B147" i="41" l="1"/>
  <c r="B148" i="41" s="1"/>
  <c r="B149" i="41" s="1"/>
  <c r="B150" i="41" s="1"/>
  <c r="B151" i="41" s="1"/>
  <c r="B152" i="41" s="1"/>
  <c r="B153" i="41" s="1"/>
  <c r="B154" i="41" s="1"/>
  <c r="B155" i="41" s="1"/>
  <c r="B156" i="41" s="1"/>
  <c r="B157" i="41" s="1"/>
  <c r="D158" i="41"/>
  <c r="J137" i="41"/>
  <c r="B148" i="44"/>
  <c r="B149" i="44" s="1"/>
  <c r="N137" i="41"/>
  <c r="B151" i="44" l="1"/>
  <c r="J151" i="44"/>
  <c r="N151" i="44"/>
  <c r="J149" i="44"/>
  <c r="N149" i="44"/>
  <c r="B158" i="41"/>
  <c r="B160" i="41" s="1"/>
  <c r="N169" i="41"/>
  <c r="J169" i="41"/>
  <c r="B161" i="41" l="1"/>
  <c r="B162" i="41" s="1"/>
  <c r="N162" i="41"/>
  <c r="N153" i="44"/>
  <c r="B152" i="44"/>
  <c r="B153" i="44" s="1"/>
  <c r="J153" i="44"/>
  <c r="B164" i="41" l="1"/>
  <c r="L226" i="44"/>
  <c r="F226" i="44"/>
  <c r="B160" i="44"/>
  <c r="B162" i="44" s="1"/>
  <c r="J162" i="41"/>
  <c r="B163" i="44" l="1"/>
  <c r="B164" i="44" s="1"/>
  <c r="B165" i="44" s="1"/>
  <c r="B166" i="44" s="1"/>
  <c r="B167" i="44" s="1"/>
  <c r="B168" i="44" s="1"/>
  <c r="B169" i="44" s="1"/>
  <c r="B170" i="44" s="1"/>
  <c r="B171" i="44" s="1"/>
  <c r="B172" i="44" s="1"/>
  <c r="B173" i="44" s="1"/>
  <c r="D174" i="44"/>
  <c r="B165" i="41"/>
  <c r="B166" i="41" s="1"/>
  <c r="B168" i="41" l="1"/>
  <c r="J168" i="41"/>
  <c r="N168" i="41"/>
  <c r="J166" i="41"/>
  <c r="N166" i="41"/>
  <c r="J185" i="44"/>
  <c r="B174" i="44"/>
  <c r="B176" i="44" s="1"/>
  <c r="N185" i="44"/>
  <c r="B177" i="44" l="1"/>
  <c r="B178" i="44" s="1"/>
  <c r="J178" i="44"/>
  <c r="N170" i="41"/>
  <c r="B169" i="41"/>
  <c r="B170" i="41" s="1"/>
  <c r="J170" i="41"/>
  <c r="B180" i="44" l="1"/>
  <c r="N178" i="44"/>
  <c r="B181" i="44" l="1"/>
  <c r="B182" i="44" s="1"/>
  <c r="J182" i="44"/>
  <c r="B184" i="44" l="1"/>
  <c r="J184" i="44"/>
  <c r="N184" i="44"/>
  <c r="N182" i="44"/>
  <c r="B185" i="44" l="1"/>
  <c r="B186" i="44" s="1"/>
  <c r="J186" i="44"/>
  <c r="F227" i="44" l="1"/>
  <c r="L227" i="44"/>
  <c r="B193" i="44"/>
  <c r="B195" i="44" s="1"/>
  <c r="N186" i="44"/>
  <c r="B196" i="44" l="1"/>
  <c r="B197" i="44" s="1"/>
  <c r="B198" i="44" s="1"/>
  <c r="B199" i="44" s="1"/>
  <c r="B200" i="44" s="1"/>
  <c r="B201" i="44" s="1"/>
  <c r="B202" i="44" s="1"/>
  <c r="B203" i="44" s="1"/>
  <c r="B204" i="44" s="1"/>
  <c r="B205" i="44" s="1"/>
  <c r="B206" i="44" s="1"/>
  <c r="B207" i="44" l="1"/>
  <c r="B209" i="44" s="1"/>
  <c r="N218" i="44"/>
  <c r="J218" i="44"/>
  <c r="D207" i="44"/>
  <c r="B210" i="44" l="1"/>
  <c r="B211" i="44" s="1"/>
  <c r="B213" i="44" l="1"/>
  <c r="J211" i="44"/>
  <c r="N211" i="44"/>
  <c r="B214" i="44" l="1"/>
  <c r="B215" i="44" s="1"/>
  <c r="N215" i="44"/>
  <c r="B217" i="44" l="1"/>
  <c r="J217" i="44"/>
  <c r="N217" i="44"/>
  <c r="J215" i="44"/>
  <c r="B218" i="44" l="1"/>
  <c r="B219" i="44" s="1"/>
  <c r="J219" i="44"/>
  <c r="B226" i="44" l="1"/>
  <c r="B227" i="44" s="1"/>
  <c r="B228" i="44" s="1"/>
  <c r="B230" i="44" s="1"/>
  <c r="F228" i="44"/>
  <c r="L228" i="44"/>
  <c r="N219" i="44"/>
  <c r="D95" i="1" l="1"/>
  <c r="D94" i="1"/>
  <c r="F272" i="1" l="1"/>
  <c r="I77" i="8"/>
  <c r="F129" i="1"/>
  <c r="I76" i="8" l="1"/>
  <c r="I75" i="8" l="1"/>
  <c r="H96" i="1" l="1"/>
  <c r="D60" i="14" l="1"/>
  <c r="C60" i="14"/>
  <c r="D59" i="14" l="1"/>
  <c r="C59" i="14"/>
  <c r="BU38" i="15" l="1"/>
  <c r="BU39" i="15"/>
  <c r="BU40" i="15"/>
  <c r="BW40" i="15" s="1"/>
  <c r="BU41" i="15"/>
  <c r="BV41" i="15" s="1"/>
  <c r="E47" i="17" l="1"/>
  <c r="F47" i="17"/>
  <c r="I47" i="17"/>
  <c r="D44" i="18"/>
  <c r="G44" i="18"/>
  <c r="H44" i="18"/>
  <c r="I44" i="18"/>
  <c r="J44" i="18"/>
  <c r="K44" i="18"/>
  <c r="L44" i="18"/>
  <c r="N44" i="18"/>
  <c r="M44" i="18"/>
  <c r="F24" i="18"/>
  <c r="G24" i="18"/>
  <c r="H24" i="18"/>
  <c r="I24" i="18"/>
  <c r="J24" i="18"/>
  <c r="H148" i="1"/>
  <c r="C43" i="14"/>
  <c r="C44" i="14"/>
  <c r="C45" i="14"/>
  <c r="C46" i="14"/>
  <c r="C47" i="14"/>
  <c r="C48" i="14"/>
  <c r="C49" i="14"/>
  <c r="C50" i="14"/>
  <c r="C51" i="14"/>
  <c r="C52" i="14"/>
  <c r="C53" i="14"/>
  <c r="C54" i="14"/>
  <c r="C55" i="14"/>
  <c r="C56" i="14"/>
  <c r="C57" i="14"/>
  <c r="C58" i="14"/>
  <c r="C42" i="14"/>
  <c r="D23" i="7" l="1"/>
  <c r="D44" i="7" l="1"/>
  <c r="BQ51" i="15"/>
  <c r="BM49" i="15"/>
  <c r="BI43" i="15"/>
  <c r="T133" i="9" l="1"/>
  <c r="Y133" i="9" s="1"/>
  <c r="BV39" i="15" l="1"/>
  <c r="BN48" i="15"/>
  <c r="BM32" i="15"/>
  <c r="BJ53" i="15"/>
  <c r="BJ65" i="15"/>
  <c r="BJ68" i="15"/>
  <c r="BJ69" i="15" s="1"/>
  <c r="BI32" i="15"/>
  <c r="BJ49" i="15" l="1"/>
  <c r="BJ61" i="15"/>
  <c r="BJ45" i="15"/>
  <c r="BJ57" i="15"/>
  <c r="BJ72" i="15"/>
  <c r="BJ73" i="15" s="1"/>
  <c r="BJ63" i="15"/>
  <c r="BJ55" i="15"/>
  <c r="BJ51" i="15"/>
  <c r="BJ47" i="15"/>
  <c r="BJ42" i="15"/>
  <c r="BJ66" i="15"/>
  <c r="BJ67" i="15" s="1"/>
  <c r="BJ74" i="15"/>
  <c r="BJ75" i="15" s="1"/>
  <c r="BJ62" i="15"/>
  <c r="BJ54" i="15"/>
  <c r="BJ50" i="15"/>
  <c r="BJ46" i="15"/>
  <c r="BN73" i="15"/>
  <c r="BN70" i="15"/>
  <c r="BN67" i="15"/>
  <c r="BN63" i="15"/>
  <c r="BN55" i="15"/>
  <c r="BN51" i="15"/>
  <c r="BN71" i="15"/>
  <c r="BN52" i="15"/>
  <c r="BN75" i="15"/>
  <c r="BN72" i="15"/>
  <c r="BN66" i="15"/>
  <c r="BN62" i="15"/>
  <c r="BN54" i="15"/>
  <c r="BN50" i="15"/>
  <c r="BN68" i="15"/>
  <c r="BN56" i="15"/>
  <c r="BN74" i="15"/>
  <c r="BN69" i="15"/>
  <c r="BN65" i="15"/>
  <c r="BN61" i="15"/>
  <c r="BN57" i="15"/>
  <c r="BN53" i="15"/>
  <c r="BN64" i="15"/>
  <c r="BN60" i="15"/>
  <c r="BJ70" i="15"/>
  <c r="BJ71" i="15" s="1"/>
  <c r="BJ64" i="15"/>
  <c r="BJ60" i="15"/>
  <c r="BJ56" i="15"/>
  <c r="BJ52" i="15"/>
  <c r="BJ48" i="15"/>
  <c r="BJ44" i="15"/>
  <c r="BO48" i="15"/>
  <c r="BN49" i="15"/>
  <c r="BO49" i="15" s="1"/>
  <c r="BM50" i="15" s="1"/>
  <c r="BK42" i="15" l="1"/>
  <c r="BJ43" i="15"/>
  <c r="BK43" i="15" s="1"/>
  <c r="BI44" i="15" s="1"/>
  <c r="BM51" i="15"/>
  <c r="BO51" i="15" s="1"/>
  <c r="BM52" i="15" s="1"/>
  <c r="BO50" i="15"/>
  <c r="BK44" i="15" l="1"/>
  <c r="BI45" i="15"/>
  <c r="BM53" i="15"/>
  <c r="BO53" i="15" s="1"/>
  <c r="BM54" i="15" s="1"/>
  <c r="BO52" i="15"/>
  <c r="BO54" i="15" l="1"/>
  <c r="BM55" i="15"/>
  <c r="BO55" i="15" s="1"/>
  <c r="BM56" i="15" s="1"/>
  <c r="BK45" i="15"/>
  <c r="BI46" i="15" s="1"/>
  <c r="BO56" i="15" l="1"/>
  <c r="BM57" i="15"/>
  <c r="BO57" i="15" s="1"/>
  <c r="BI47" i="15"/>
  <c r="BK47" i="15" s="1"/>
  <c r="BI48" i="15" s="1"/>
  <c r="BK46" i="15"/>
  <c r="BM60" i="15" l="1"/>
  <c r="BI49" i="15"/>
  <c r="BK49" i="15" s="1"/>
  <c r="BI50" i="15" s="1"/>
  <c r="BI51" i="15" s="1"/>
  <c r="BK48" i="15"/>
  <c r="BK50" i="15" l="1"/>
  <c r="BO60" i="15"/>
  <c r="BM61" i="15"/>
  <c r="BO61" i="15" s="1"/>
  <c r="BK51" i="15"/>
  <c r="BI52" i="15" s="1"/>
  <c r="BI53" i="15" s="1"/>
  <c r="BM62" i="15" l="1"/>
  <c r="BM63" i="15" s="1"/>
  <c r="BO63" i="15" s="1"/>
  <c r="BM64" i="15" s="1"/>
  <c r="H82" i="12"/>
  <c r="BK52" i="15"/>
  <c r="BO62" i="15" l="1"/>
  <c r="BM65" i="15"/>
  <c r="BO65" i="15" s="1"/>
  <c r="BM66" i="15" s="1"/>
  <c r="BO64" i="15"/>
  <c r="BK53" i="15"/>
  <c r="BI54" i="15" s="1"/>
  <c r="BI55" i="15" s="1"/>
  <c r="BO66" i="15" l="1"/>
  <c r="BM67" i="15"/>
  <c r="BO67" i="15" s="1"/>
  <c r="BM68" i="15" s="1"/>
  <c r="BK54" i="15"/>
  <c r="BM69" i="15" l="1"/>
  <c r="BO69" i="15" s="1"/>
  <c r="BM70" i="15" s="1"/>
  <c r="BO68" i="15"/>
  <c r="BK55" i="15"/>
  <c r="BI56" i="15" s="1"/>
  <c r="BI57" i="15" s="1"/>
  <c r="BO70" i="15" l="1"/>
  <c r="BM71" i="15"/>
  <c r="BO71" i="15" s="1"/>
  <c r="BM72" i="15" s="1"/>
  <c r="BK56" i="15"/>
  <c r="BO72" i="15" l="1"/>
  <c r="BM73" i="15"/>
  <c r="BO73" i="15" s="1"/>
  <c r="BM74" i="15" s="1"/>
  <c r="BK57" i="15"/>
  <c r="BO74" i="15" l="1"/>
  <c r="BM75" i="15"/>
  <c r="BO75" i="15" s="1"/>
  <c r="BI60" i="15" l="1"/>
  <c r="BI61" i="15" s="1"/>
  <c r="BK60" i="15" l="1"/>
  <c r="BK61" i="15" l="1"/>
  <c r="H81" i="12" s="1"/>
  <c r="BI62" i="15" l="1"/>
  <c r="BI63" i="15" s="1"/>
  <c r="BK62" i="15" l="1"/>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S37" i="15" l="1"/>
  <c r="BS36" i="15"/>
  <c r="BQ32" i="15"/>
  <c r="BR74" i="15" l="1"/>
  <c r="BR70" i="15"/>
  <c r="BR66" i="15"/>
  <c r="BR62" i="15"/>
  <c r="BR54" i="15"/>
  <c r="BR50" i="15"/>
  <c r="BR73" i="15"/>
  <c r="BR69" i="15"/>
  <c r="BR65" i="15"/>
  <c r="BR61" i="15"/>
  <c r="BR57" i="15"/>
  <c r="BR53" i="15"/>
  <c r="BR71" i="15"/>
  <c r="BR63" i="15"/>
  <c r="BR72" i="15"/>
  <c r="BR68" i="15"/>
  <c r="BR64" i="15"/>
  <c r="BR60" i="15"/>
  <c r="BR56" i="15"/>
  <c r="BR52" i="15"/>
  <c r="BR75" i="15"/>
  <c r="BR67" i="15"/>
  <c r="BR55" i="15"/>
  <c r="BR51" i="15" l="1"/>
  <c r="BS51" i="15" s="1"/>
  <c r="BQ52" i="15" s="1"/>
  <c r="BS50" i="15"/>
  <c r="BS52" i="15" l="1"/>
  <c r="BQ53" i="15"/>
  <c r="BS53" i="15" s="1"/>
  <c r="BQ54" i="15" s="1"/>
  <c r="BS54" i="15" l="1"/>
  <c r="BQ55" i="15"/>
  <c r="BS55" i="15" s="1"/>
  <c r="BQ56" i="15" s="1"/>
  <c r="F270" i="1"/>
  <c r="E249" i="1"/>
  <c r="E76" i="13"/>
  <c r="BS56" i="15" l="1"/>
  <c r="BQ57" i="15"/>
  <c r="BS57" i="15" s="1"/>
  <c r="BQ60" i="15" l="1"/>
  <c r="G80" i="8"/>
  <c r="G79" i="8"/>
  <c r="G78" i="8"/>
  <c r="BS60" i="15" l="1"/>
  <c r="BQ61" i="15"/>
  <c r="BS61" i="15" s="1"/>
  <c r="H83" i="12" s="1"/>
  <c r="M12" i="18"/>
  <c r="M13" i="18"/>
  <c r="M14" i="18"/>
  <c r="M15" i="18"/>
  <c r="M16" i="18"/>
  <c r="M17" i="18"/>
  <c r="M18" i="18"/>
  <c r="M19" i="18"/>
  <c r="M20" i="18"/>
  <c r="M21" i="18"/>
  <c r="M22" i="18"/>
  <c r="L12" i="18"/>
  <c r="L13" i="18"/>
  <c r="L14" i="18"/>
  <c r="L15" i="18"/>
  <c r="L16" i="18"/>
  <c r="L17" i="18"/>
  <c r="L18" i="18"/>
  <c r="L19" i="18"/>
  <c r="L20" i="18"/>
  <c r="L21" i="18"/>
  <c r="L22" i="18"/>
  <c r="K13" i="18"/>
  <c r="K14" i="18"/>
  <c r="K15" i="18"/>
  <c r="K16" i="18"/>
  <c r="K17" i="18"/>
  <c r="K18" i="18"/>
  <c r="K19" i="18"/>
  <c r="K20" i="18"/>
  <c r="K21" i="18"/>
  <c r="K22" i="18"/>
  <c r="K12" i="18"/>
  <c r="BQ62" i="15" l="1"/>
  <c r="F258" i="1"/>
  <c r="BS62" i="15" l="1"/>
  <c r="BQ63" i="15"/>
  <c r="BS63" i="15" s="1"/>
  <c r="BQ64" i="15" s="1"/>
  <c r="BS64" i="15" l="1"/>
  <c r="BQ65" i="15"/>
  <c r="BS65" i="15" s="1"/>
  <c r="BQ66" i="15" s="1"/>
  <c r="H13" i="9"/>
  <c r="BQ67" i="15" l="1"/>
  <c r="BS67" i="15" s="1"/>
  <c r="BQ68" i="15" s="1"/>
  <c r="BS66" i="15"/>
  <c r="C30" i="31"/>
  <c r="D30" i="31"/>
  <c r="E30" i="31"/>
  <c r="F30" i="31"/>
  <c r="G30" i="31"/>
  <c r="H30" i="31"/>
  <c r="I30" i="31"/>
  <c r="J30" i="31"/>
  <c r="K30" i="31"/>
  <c r="L30" i="31"/>
  <c r="M30" i="31"/>
  <c r="N30" i="31"/>
  <c r="O30" i="31"/>
  <c r="B30" i="31"/>
  <c r="P11" i="31"/>
  <c r="P12" i="31"/>
  <c r="P13" i="31"/>
  <c r="P14" i="31"/>
  <c r="P15" i="31"/>
  <c r="P16" i="31"/>
  <c r="P17" i="31"/>
  <c r="P18" i="31"/>
  <c r="P19" i="31"/>
  <c r="P20" i="31"/>
  <c r="P21" i="31"/>
  <c r="P22" i="31"/>
  <c r="P23" i="31"/>
  <c r="P24" i="31"/>
  <c r="P25" i="31"/>
  <c r="P26" i="31"/>
  <c r="P27" i="31"/>
  <c r="P28" i="31"/>
  <c r="P29" i="31"/>
  <c r="P10" i="31"/>
  <c r="P30" i="31" l="1"/>
  <c r="BQ69" i="15"/>
  <c r="BS69" i="15" s="1"/>
  <c r="BQ70" i="15" s="1"/>
  <c r="BS68" i="15"/>
  <c r="P22" i="10"/>
  <c r="P23" i="10"/>
  <c r="P24" i="10"/>
  <c r="P25" i="10"/>
  <c r="P26" i="10"/>
  <c r="P27" i="10"/>
  <c r="P28" i="10"/>
  <c r="P29" i="10"/>
  <c r="P30" i="10"/>
  <c r="P31" i="10"/>
  <c r="P10" i="10"/>
  <c r="P11" i="10"/>
  <c r="P12" i="10"/>
  <c r="P13" i="10"/>
  <c r="P14" i="10"/>
  <c r="P15" i="10"/>
  <c r="P16" i="10"/>
  <c r="P17" i="10"/>
  <c r="P18" i="10"/>
  <c r="P19" i="10"/>
  <c r="P20" i="10"/>
  <c r="P21" i="10"/>
  <c r="P9" i="10"/>
  <c r="C33" i="10"/>
  <c r="D33" i="10"/>
  <c r="E33" i="10"/>
  <c r="F33" i="10"/>
  <c r="G33" i="10"/>
  <c r="H33" i="10"/>
  <c r="I33" i="10"/>
  <c r="J33" i="10"/>
  <c r="K33" i="10"/>
  <c r="L33" i="10"/>
  <c r="M33" i="10"/>
  <c r="N33" i="10"/>
  <c r="O33" i="10"/>
  <c r="B33" i="10"/>
  <c r="BQ71" i="15" l="1"/>
  <c r="BS71" i="15" s="1"/>
  <c r="BQ72" i="15" s="1"/>
  <c r="BS70" i="15"/>
  <c r="P33" i="10"/>
  <c r="BS72" i="15" l="1"/>
  <c r="BQ73" i="15"/>
  <c r="BS73" i="15" s="1"/>
  <c r="BQ74" i="15" s="1"/>
  <c r="BS74" i="15" l="1"/>
  <c r="BQ75" i="15"/>
  <c r="BS75" i="15" s="1"/>
  <c r="H149" i="1" l="1"/>
  <c r="G149" i="9"/>
  <c r="E11" i="33"/>
  <c r="H268" i="9"/>
  <c r="E23" i="33"/>
  <c r="E10" i="33"/>
  <c r="C82" i="34"/>
  <c r="I50" i="9" l="1"/>
  <c r="H44" i="9"/>
  <c r="G23" i="32"/>
  <c r="E212" i="9" l="1"/>
  <c r="E214" i="9" l="1"/>
  <c r="E216" i="9" s="1"/>
  <c r="H155" i="1" l="1"/>
  <c r="F233" i="1" l="1"/>
  <c r="F232" i="1"/>
  <c r="F231" i="1"/>
  <c r="H161" i="1" l="1"/>
  <c r="E281" i="9"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251" i="9" s="1"/>
  <c r="N251" i="9" s="1"/>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21" i="9"/>
  <c r="Y121" i="9" s="1"/>
  <c r="T122" i="9"/>
  <c r="Y122" i="9" s="1"/>
  <c r="G35" i="32" l="1"/>
  <c r="S136" i="9"/>
  <c r="R136" i="9"/>
  <c r="Q136" i="9"/>
  <c r="P136" i="9"/>
  <c r="O136" i="9"/>
  <c r="N136" i="9"/>
  <c r="M136" i="9"/>
  <c r="L136" i="9"/>
  <c r="K136" i="9"/>
  <c r="J136" i="9"/>
  <c r="I136" i="9"/>
  <c r="H136" i="9"/>
  <c r="G136" i="9"/>
  <c r="T134" i="9"/>
  <c r="AB134" i="9" s="1"/>
  <c r="T132" i="9"/>
  <c r="Y132" i="9" s="1"/>
  <c r="T131" i="9"/>
  <c r="Y131" i="9" s="1"/>
  <c r="T130" i="9"/>
  <c r="Y130" i="9" s="1"/>
  <c r="T129" i="9"/>
  <c r="Y129" i="9" s="1"/>
  <c r="T128" i="9"/>
  <c r="Y128" i="9" s="1"/>
  <c r="T127" i="9"/>
  <c r="Y127" i="9" s="1"/>
  <c r="T126" i="9"/>
  <c r="Y126" i="9" s="1"/>
  <c r="T125" i="9"/>
  <c r="Y125" i="9" s="1"/>
  <c r="T124" i="9"/>
  <c r="Y124" i="9" s="1"/>
  <c r="T123" i="9"/>
  <c r="Y123" i="9" s="1"/>
  <c r="T120" i="9"/>
  <c r="Y120" i="9" s="1"/>
  <c r="T119" i="9"/>
  <c r="Y119" i="9" s="1"/>
  <c r="T118" i="9"/>
  <c r="Y118" i="9" s="1"/>
  <c r="T117" i="9"/>
  <c r="V117" i="9" s="1"/>
  <c r="G38" i="32" l="1"/>
  <c r="AC134" i="9"/>
  <c r="AB136" i="9"/>
  <c r="T136" i="9"/>
  <c r="Y136" i="9"/>
  <c r="V136" i="9"/>
  <c r="H136" i="1" l="1"/>
  <c r="A20" i="7"/>
  <c r="G19" i="7"/>
  <c r="G18" i="7"/>
  <c r="G17" i="7"/>
  <c r="G16" i="7"/>
  <c r="G15" i="7"/>
  <c r="G13" i="7"/>
  <c r="G14" i="7"/>
  <c r="G12" i="7"/>
  <c r="G7" i="7"/>
  <c r="G8" i="7" s="1"/>
  <c r="D33" i="7" l="1"/>
  <c r="H14" i="1" l="1"/>
  <c r="H16" i="1" l="1"/>
  <c r="I313" i="42" l="1"/>
  <c r="I317" i="42" s="1"/>
  <c r="I174" i="42"/>
  <c r="I178" i="42" s="1"/>
  <c r="I293" i="42"/>
  <c r="I297" i="42" s="1"/>
  <c r="I15" i="42" s="1"/>
  <c r="I249" i="42"/>
  <c r="I253" i="42" s="1"/>
  <c r="I103" i="42"/>
  <c r="I107" i="42" s="1"/>
  <c r="I80" i="42"/>
  <c r="I11" i="42" s="1"/>
  <c r="I222" i="42"/>
  <c r="I226" i="42" s="1"/>
  <c r="I14" i="42" s="1"/>
  <c r="H145" i="9"/>
  <c r="Z133" i="9"/>
  <c r="AA133" i="9" s="1"/>
  <c r="G26" i="33"/>
  <c r="Z121" i="9"/>
  <c r="AA121" i="9" s="1"/>
  <c r="AC121" i="9" s="1"/>
  <c r="Z125" i="9"/>
  <c r="AA125" i="9" s="1"/>
  <c r="Z129" i="9"/>
  <c r="AA129" i="9" s="1"/>
  <c r="Z117" i="9"/>
  <c r="AA117" i="9" s="1"/>
  <c r="Z118" i="9"/>
  <c r="AA118" i="9" s="1"/>
  <c r="Z122" i="9"/>
  <c r="AA122" i="9" s="1"/>
  <c r="AC122" i="9" s="1"/>
  <c r="Z126" i="9"/>
  <c r="AA126" i="9" s="1"/>
  <c r="Z130" i="9"/>
  <c r="AA130" i="9" s="1"/>
  <c r="Z119" i="9"/>
  <c r="AA119" i="9" s="1"/>
  <c r="Z123" i="9"/>
  <c r="AA123" i="9" s="1"/>
  <c r="Z127" i="9"/>
  <c r="AA127" i="9" s="1"/>
  <c r="Z131" i="9"/>
  <c r="AA131" i="9" s="1"/>
  <c r="Z120" i="9"/>
  <c r="AA120" i="9" s="1"/>
  <c r="Z124" i="9"/>
  <c r="AA124" i="9" s="1"/>
  <c r="Z128" i="9"/>
  <c r="AA128" i="9" s="1"/>
  <c r="Z132" i="9"/>
  <c r="AA132" i="9" s="1"/>
  <c r="T96" i="9"/>
  <c r="T100" i="9" s="1"/>
  <c r="F20" i="7"/>
  <c r="G20" i="7" s="1"/>
  <c r="I17" i="42" l="1"/>
  <c r="T108" i="9"/>
  <c r="T101" i="9"/>
  <c r="T102" i="9" s="1"/>
  <c r="T99" i="9"/>
  <c r="AA136" i="9"/>
  <c r="E60" i="18" l="1"/>
  <c r="E59" i="18"/>
  <c r="E58" i="18"/>
  <c r="F12" i="13" l="1"/>
  <c r="F33" i="13" l="1"/>
  <c r="F34" i="13"/>
  <c r="F35" i="13"/>
  <c r="E26" i="14"/>
  <c r="G24" i="33" l="1"/>
  <c r="G27" i="33" s="1"/>
  <c r="E277" i="9"/>
  <c r="E279" i="9" s="1"/>
  <c r="E280" i="9" s="1"/>
  <c r="E282" i="9" l="1"/>
  <c r="E283" i="9" s="1"/>
  <c r="E275" i="9" s="1"/>
  <c r="C74" i="19" l="1"/>
  <c r="I240" i="9"/>
  <c r="C43" i="18" s="1"/>
  <c r="C44" i="18" s="1"/>
  <c r="I242" i="9"/>
  <c r="I244" i="9"/>
  <c r="E43" i="18" s="1"/>
  <c r="E44" i="18" s="1"/>
  <c r="I243" i="9"/>
  <c r="I239" i="9" l="1"/>
  <c r="C23" i="18" s="1"/>
  <c r="I241" i="9"/>
  <c r="F43" i="18" s="1"/>
  <c r="F44" i="18" s="1"/>
  <c r="D23" i="18"/>
  <c r="E23" i="18"/>
  <c r="E24" i="18" s="1"/>
  <c r="L23" i="18" l="1"/>
  <c r="D24" i="18"/>
  <c r="G33" i="9"/>
  <c r="C24" i="18"/>
  <c r="M23" i="18"/>
  <c r="F324" i="1" l="1"/>
  <c r="E183" i="1" l="1"/>
  <c r="F185" i="1" l="1"/>
  <c r="F56" i="1" l="1"/>
  <c r="F50" i="1"/>
  <c r="H179" i="1" l="1"/>
  <c r="H183" i="1" l="1"/>
  <c r="H181" i="1"/>
  <c r="I262" i="9" l="1"/>
  <c r="H190" i="1" s="1"/>
  <c r="I261" i="9"/>
  <c r="H189" i="1" s="1"/>
  <c r="I258" i="9"/>
  <c r="H177" i="1" s="1"/>
  <c r="K66" i="12" s="1"/>
  <c r="F79" i="1" l="1"/>
  <c r="F77" i="1"/>
  <c r="F75" i="1"/>
  <c r="F328" i="1" l="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E250" i="1"/>
  <c r="F244" i="1"/>
  <c r="F242" i="1"/>
  <c r="F241" i="1"/>
  <c r="F240" i="1"/>
  <c r="F239" i="1"/>
  <c r="F236" i="1"/>
  <c r="F235" i="1"/>
  <c r="F229" i="1"/>
  <c r="F228" i="1"/>
  <c r="F226" i="1"/>
  <c r="F225" i="1"/>
  <c r="E222" i="1"/>
  <c r="E224" i="1" s="1"/>
  <c r="F215" i="1"/>
  <c r="F202" i="1"/>
  <c r="F196" i="1"/>
  <c r="F193" i="1"/>
  <c r="F192" i="1"/>
  <c r="F191" i="1"/>
  <c r="F187" i="1"/>
  <c r="F186" i="1"/>
  <c r="E190" i="1"/>
  <c r="E189" i="1"/>
  <c r="E166" i="1"/>
  <c r="E161" i="1"/>
  <c r="E155" i="1"/>
  <c r="E152" i="1"/>
  <c r="E146" i="1"/>
  <c r="E142" i="1"/>
  <c r="F131" i="1"/>
  <c r="F127" i="1"/>
  <c r="F126" i="1"/>
  <c r="E126" i="1"/>
  <c r="F122" i="1"/>
  <c r="F120" i="1"/>
  <c r="F117" i="1"/>
  <c r="F115" i="1"/>
  <c r="F114" i="1"/>
  <c r="E113" i="1"/>
  <c r="E108" i="1"/>
  <c r="E66" i="1"/>
  <c r="F81" i="1"/>
  <c r="F76" i="1"/>
  <c r="F62" i="1"/>
  <c r="F58" i="1"/>
  <c r="F57" i="1"/>
  <c r="E60" i="1"/>
  <c r="E54" i="1"/>
  <c r="E46" i="1"/>
  <c r="E19" i="1"/>
  <c r="H35" i="17"/>
  <c r="H36" i="17" l="1"/>
  <c r="H37" i="17" s="1"/>
  <c r="H38" i="17" s="1"/>
  <c r="H39" i="17" s="1"/>
  <c r="H40" i="17" s="1"/>
  <c r="H41" i="17" s="1"/>
  <c r="H42" i="17" s="1"/>
  <c r="H43" i="17" s="1"/>
  <c r="H44" i="17" s="1"/>
  <c r="H45" i="17" s="1"/>
  <c r="H67" i="1"/>
  <c r="H55" i="1"/>
  <c r="F68" i="1"/>
  <c r="F21" i="1"/>
  <c r="H47" i="1"/>
  <c r="H47" i="17" l="1"/>
  <c r="E30" i="1"/>
  <c r="E28" i="1"/>
  <c r="E26" i="1"/>
  <c r="F156" i="1" l="1"/>
  <c r="F143" i="1"/>
  <c r="A24" i="1"/>
  <c r="H31" i="1"/>
  <c r="H29" i="1"/>
  <c r="F22" i="1"/>
  <c r="A26" i="1" l="1"/>
  <c r="F72" i="1" s="1"/>
  <c r="A28" i="1" l="1"/>
  <c r="F73" i="1" s="1"/>
  <c r="D51" i="18"/>
  <c r="E51" i="18"/>
  <c r="F51" i="18"/>
  <c r="D63" i="18"/>
  <c r="E63" i="18"/>
  <c r="F63" i="18"/>
  <c r="C63" i="18"/>
  <c r="C51" i="18"/>
  <c r="L11" i="18"/>
  <c r="K23" i="18"/>
  <c r="K11"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D34" i="7"/>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BW38" i="15"/>
  <c r="D38" i="15"/>
  <c r="D40" i="15" s="1"/>
  <c r="D42" i="15" s="1"/>
  <c r="D44" i="15" s="1"/>
  <c r="D46" i="15" s="1"/>
  <c r="D48" i="15" s="1"/>
  <c r="D50" i="15" s="1"/>
  <c r="D52" i="15" s="1"/>
  <c r="BG37" i="15"/>
  <c r="BC37" i="15"/>
  <c r="AY37" i="15"/>
  <c r="AU37" i="15"/>
  <c r="AQ37" i="15"/>
  <c r="AM37" i="15"/>
  <c r="AI37" i="15"/>
  <c r="AE37" i="15"/>
  <c r="AA37" i="15"/>
  <c r="W37" i="15"/>
  <c r="S37" i="15"/>
  <c r="O37" i="15"/>
  <c r="K37" i="15"/>
  <c r="BG36" i="15"/>
  <c r="BC36" i="15"/>
  <c r="AY36" i="15"/>
  <c r="AU36" i="15"/>
  <c r="AQ36" i="15"/>
  <c r="AM36" i="15"/>
  <c r="AI36" i="15"/>
  <c r="AE36" i="15"/>
  <c r="AA36" i="15"/>
  <c r="W36" i="15"/>
  <c r="S36" i="15"/>
  <c r="O36" i="15"/>
  <c r="K36" i="15"/>
  <c r="C36" i="15"/>
  <c r="C38" i="15" s="1"/>
  <c r="C40" i="15" s="1"/>
  <c r="C42" i="15" s="1"/>
  <c r="C44" i="15" s="1"/>
  <c r="C46" i="15" s="1"/>
  <c r="C48" i="15" s="1"/>
  <c r="C50" i="15" s="1"/>
  <c r="C52" i="15" s="1"/>
  <c r="BE32" i="15"/>
  <c r="BA32" i="15"/>
  <c r="AW32" i="15"/>
  <c r="AS32" i="15"/>
  <c r="AO32" i="15"/>
  <c r="AK32" i="15"/>
  <c r="AG32" i="15"/>
  <c r="E32" i="15"/>
  <c r="AC31" i="15"/>
  <c r="Y31" i="15"/>
  <c r="U31" i="15"/>
  <c r="Q31" i="15"/>
  <c r="M31" i="15"/>
  <c r="I31" i="15"/>
  <c r="H322" i="1"/>
  <c r="Y32" i="15" l="1"/>
  <c r="I32" i="15"/>
  <c r="M32" i="15"/>
  <c r="N70" i="15" s="1"/>
  <c r="N71" i="15" s="1"/>
  <c r="U32" i="15"/>
  <c r="V74" i="15" s="1"/>
  <c r="V75" i="15" s="1"/>
  <c r="AC32" i="15"/>
  <c r="AD72" i="15" s="1"/>
  <c r="AD73" i="15" s="1"/>
  <c r="Q32" i="15"/>
  <c r="R70" i="15" s="1"/>
  <c r="R71" i="15" s="1"/>
  <c r="N74" i="15"/>
  <c r="N75" i="15" s="1"/>
  <c r="N72" i="15"/>
  <c r="N73" i="15" s="1"/>
  <c r="F74" i="15"/>
  <c r="F75" i="15" s="1"/>
  <c r="F72" i="15"/>
  <c r="F73" i="15" s="1"/>
  <c r="F70" i="15"/>
  <c r="F71" i="15" s="1"/>
  <c r="F68" i="15"/>
  <c r="F69" i="15" s="1"/>
  <c r="F66" i="15"/>
  <c r="F67" i="15" s="1"/>
  <c r="F64" i="15"/>
  <c r="F65" i="15" s="1"/>
  <c r="F62" i="15"/>
  <c r="F63" i="15" s="1"/>
  <c r="F60" i="15"/>
  <c r="F61" i="15" s="1"/>
  <c r="AT74" i="15"/>
  <c r="AT75" i="15" s="1"/>
  <c r="AT72" i="15"/>
  <c r="AT73" i="15" s="1"/>
  <c r="AT70" i="15"/>
  <c r="AT71" i="15" s="1"/>
  <c r="AT68" i="15"/>
  <c r="AT69" i="15" s="1"/>
  <c r="AT66" i="15"/>
  <c r="AT67" i="15" s="1"/>
  <c r="AT64" i="15"/>
  <c r="AT65" i="15" s="1"/>
  <c r="AT62" i="15"/>
  <c r="AT63" i="15" s="1"/>
  <c r="AT60" i="15"/>
  <c r="AT61" i="15" s="1"/>
  <c r="AH74" i="15"/>
  <c r="AH75" i="15" s="1"/>
  <c r="AH72" i="15"/>
  <c r="AH73" i="15" s="1"/>
  <c r="AH70" i="15"/>
  <c r="AH71" i="15" s="1"/>
  <c r="AH68" i="15"/>
  <c r="AH69" i="15" s="1"/>
  <c r="AH64" i="15"/>
  <c r="AH65" i="15" s="1"/>
  <c r="AH62" i="15"/>
  <c r="AH63" i="15" s="1"/>
  <c r="AH66" i="15"/>
  <c r="AH67" i="15" s="1"/>
  <c r="AH60" i="15"/>
  <c r="AH61" i="15" s="1"/>
  <c r="AX74" i="15"/>
  <c r="AX75" i="15" s="1"/>
  <c r="AX72" i="15"/>
  <c r="AX73" i="15" s="1"/>
  <c r="AX70" i="15"/>
  <c r="AX71" i="15" s="1"/>
  <c r="AX68" i="15"/>
  <c r="AX69" i="15" s="1"/>
  <c r="AX64" i="15"/>
  <c r="AX65" i="15" s="1"/>
  <c r="AX62" i="15"/>
  <c r="AX63" i="15" s="1"/>
  <c r="AX66" i="15"/>
  <c r="AX67" i="15" s="1"/>
  <c r="AX60" i="15"/>
  <c r="AX61" i="15" s="1"/>
  <c r="Z74" i="15"/>
  <c r="Z75" i="15" s="1"/>
  <c r="Z72" i="15"/>
  <c r="Z73" i="15" s="1"/>
  <c r="Z70" i="15"/>
  <c r="Z71" i="15" s="1"/>
  <c r="Z68" i="15"/>
  <c r="Z69" i="15" s="1"/>
  <c r="Z66" i="15"/>
  <c r="Z67" i="15" s="1"/>
  <c r="Z64" i="15"/>
  <c r="Z65" i="15" s="1"/>
  <c r="Z62" i="15"/>
  <c r="Z63" i="15" s="1"/>
  <c r="Z60" i="15"/>
  <c r="Z61" i="15" s="1"/>
  <c r="BF74" i="15"/>
  <c r="BF75" i="15" s="1"/>
  <c r="BF72" i="15"/>
  <c r="BF73" i="15" s="1"/>
  <c r="BF70" i="15"/>
  <c r="BF71" i="15" s="1"/>
  <c r="BF68" i="15"/>
  <c r="BF69" i="15" s="1"/>
  <c r="BF66" i="15"/>
  <c r="BF67" i="15" s="1"/>
  <c r="BF64" i="15"/>
  <c r="BF65" i="15" s="1"/>
  <c r="BF62" i="15"/>
  <c r="BF63" i="15" s="1"/>
  <c r="BF60" i="15"/>
  <c r="BF61" i="15" s="1"/>
  <c r="AL74" i="15"/>
  <c r="AL75" i="15" s="1"/>
  <c r="AL72" i="15"/>
  <c r="AL73" i="15" s="1"/>
  <c r="AL70" i="15"/>
  <c r="AL71" i="15" s="1"/>
  <c r="AL68" i="15"/>
  <c r="AL69" i="15" s="1"/>
  <c r="AL64" i="15"/>
  <c r="AL65" i="15" s="1"/>
  <c r="AL62" i="15"/>
  <c r="AL63" i="15" s="1"/>
  <c r="AL66" i="15"/>
  <c r="AL67" i="15" s="1"/>
  <c r="AL60" i="15"/>
  <c r="AL61" i="15" s="1"/>
  <c r="AP74" i="15"/>
  <c r="AP75" i="15" s="1"/>
  <c r="AP72" i="15"/>
  <c r="AP73" i="15" s="1"/>
  <c r="AP70" i="15"/>
  <c r="AP71" i="15" s="1"/>
  <c r="AP68" i="15"/>
  <c r="AP69" i="15" s="1"/>
  <c r="AP66" i="15"/>
  <c r="AP67" i="15" s="1"/>
  <c r="AP64" i="15"/>
  <c r="AP65" i="15" s="1"/>
  <c r="AP62" i="15"/>
  <c r="AP63" i="15" s="1"/>
  <c r="AP60" i="15"/>
  <c r="AP61" i="15" s="1"/>
  <c r="J74" i="15"/>
  <c r="J75" i="15" s="1"/>
  <c r="J72" i="15"/>
  <c r="J73" i="15" s="1"/>
  <c r="J70" i="15"/>
  <c r="J71" i="15" s="1"/>
  <c r="J68" i="15"/>
  <c r="J69" i="15" s="1"/>
  <c r="J66" i="15"/>
  <c r="J67" i="15" s="1"/>
  <c r="J64" i="15"/>
  <c r="J65" i="15" s="1"/>
  <c r="J62" i="15"/>
  <c r="J63" i="15" s="1"/>
  <c r="J60" i="15"/>
  <c r="J61" i="15" s="1"/>
  <c r="BB74" i="15"/>
  <c r="BB75" i="15" s="1"/>
  <c r="BB72" i="15"/>
  <c r="BB73" i="15" s="1"/>
  <c r="BB70" i="15"/>
  <c r="BB71" i="15" s="1"/>
  <c r="BB68" i="15"/>
  <c r="BB69" i="15" s="1"/>
  <c r="BB64" i="15"/>
  <c r="BB65" i="15" s="1"/>
  <c r="BB62" i="15"/>
  <c r="BB63" i="15" s="1"/>
  <c r="BB66" i="15"/>
  <c r="BB67" i="15" s="1"/>
  <c r="BB60" i="15"/>
  <c r="BB61" i="15" s="1"/>
  <c r="AD60" i="15" l="1"/>
  <c r="AD61" i="15" s="1"/>
  <c r="AD74" i="15"/>
  <c r="AD75" i="15" s="1"/>
  <c r="AD66" i="15"/>
  <c r="AD67" i="15" s="1"/>
  <c r="N64" i="15"/>
  <c r="N65" i="15" s="1"/>
  <c r="AD68" i="15"/>
  <c r="AD69" i="15" s="1"/>
  <c r="N66" i="15"/>
  <c r="N67" i="15" s="1"/>
  <c r="AD62" i="15"/>
  <c r="AD63" i="15" s="1"/>
  <c r="AD70" i="15"/>
  <c r="AD71" i="15" s="1"/>
  <c r="N60" i="15"/>
  <c r="N61" i="15" s="1"/>
  <c r="N68" i="15"/>
  <c r="N69" i="15" s="1"/>
  <c r="AD64" i="15"/>
  <c r="AD65" i="15" s="1"/>
  <c r="N62" i="15"/>
  <c r="N63" i="15" s="1"/>
  <c r="R62" i="15"/>
  <c r="R63" i="15" s="1"/>
  <c r="R72" i="15"/>
  <c r="R73" i="15" s="1"/>
  <c r="V68" i="15"/>
  <c r="V69" i="15" s="1"/>
  <c r="R64" i="15"/>
  <c r="R65" i="15" s="1"/>
  <c r="R74" i="15"/>
  <c r="R75" i="15" s="1"/>
  <c r="V60" i="15"/>
  <c r="V61" i="15" s="1"/>
  <c r="V70" i="15"/>
  <c r="V71" i="15" s="1"/>
  <c r="R60" i="15"/>
  <c r="R61" i="15" s="1"/>
  <c r="R68" i="15"/>
  <c r="R69" i="15" s="1"/>
  <c r="V66" i="15"/>
  <c r="V67" i="15" s="1"/>
  <c r="V72" i="15"/>
  <c r="V73" i="15" s="1"/>
  <c r="R66" i="15"/>
  <c r="R67" i="15" s="1"/>
  <c r="V62" i="15"/>
  <c r="V63" i="15" s="1"/>
  <c r="V64" i="15"/>
  <c r="V65" i="15" s="1"/>
  <c r="AW60" i="15" l="1"/>
  <c r="AY60" i="15" s="1"/>
  <c r="AO61" i="15"/>
  <c r="AQ61" i="15" s="1"/>
  <c r="H76" i="12" s="1"/>
  <c r="AG60" i="15"/>
  <c r="AI60" i="15" s="1"/>
  <c r="AS61" i="15"/>
  <c r="AU61" i="15" s="1"/>
  <c r="H77" i="12" s="1"/>
  <c r="AK61" i="15"/>
  <c r="AM61" i="15" s="1"/>
  <c r="H75" i="12" s="1"/>
  <c r="BA60" i="15"/>
  <c r="BC60" i="15" s="1"/>
  <c r="K93" i="12"/>
  <c r="BE61" i="15"/>
  <c r="BG61" i="15" s="1"/>
  <c r="H80" i="12" s="1"/>
  <c r="BE60" i="15"/>
  <c r="BG60" i="15" s="1"/>
  <c r="AS60" i="15"/>
  <c r="AU60" i="15" s="1"/>
  <c r="AG61" i="15" l="1"/>
  <c r="AI61" i="15" s="1"/>
  <c r="H74" i="12" s="1"/>
  <c r="AW61" i="15"/>
  <c r="AY61" i="15" s="1"/>
  <c r="H78" i="12" s="1"/>
  <c r="AK60" i="15"/>
  <c r="AM60" i="15" s="1"/>
  <c r="AO60" i="15"/>
  <c r="AQ60" i="15" s="1"/>
  <c r="BA61" i="15"/>
  <c r="BC61" i="15" s="1"/>
  <c r="H79" i="12" s="1"/>
  <c r="E60" i="15"/>
  <c r="E61" i="15" s="1"/>
  <c r="G61" i="15" s="1"/>
  <c r="H67" i="12" s="1"/>
  <c r="AC60" i="15"/>
  <c r="AC61" i="15" s="1"/>
  <c r="AE61" i="15" s="1"/>
  <c r="H73" i="12" s="1"/>
  <c r="I60" i="15"/>
  <c r="K60" i="15" s="1"/>
  <c r="U60" i="15"/>
  <c r="W60" i="15" s="1"/>
  <c r="M60" i="15"/>
  <c r="M61" i="15" s="1"/>
  <c r="O61" i="15" s="1"/>
  <c r="H69" i="12" s="1"/>
  <c r="Y60" i="15"/>
  <c r="Y61" i="15" s="1"/>
  <c r="AA61" i="15" s="1"/>
  <c r="H72" i="12" s="1"/>
  <c r="BE63" i="15"/>
  <c r="BG63" i="15" s="1"/>
  <c r="BE62" i="15"/>
  <c r="BG62" i="15" s="1"/>
  <c r="Q60" i="15"/>
  <c r="AW63" i="15"/>
  <c r="AY63" i="15" s="1"/>
  <c r="AW62" i="15"/>
  <c r="AY62" i="15" s="1"/>
  <c r="AK63" i="15"/>
  <c r="AM63" i="15" s="1"/>
  <c r="AK62" i="15"/>
  <c r="AM62" i="15" s="1"/>
  <c r="AS63" i="15"/>
  <c r="AU63" i="15" s="1"/>
  <c r="AS62" i="15"/>
  <c r="AU62" i="15" s="1"/>
  <c r="AO63" i="15"/>
  <c r="AQ63" i="15" s="1"/>
  <c r="AO62" i="15"/>
  <c r="AQ62" i="15" s="1"/>
  <c r="AG62" i="15" l="1"/>
  <c r="AI62" i="15" s="1"/>
  <c r="AG63" i="15"/>
  <c r="AI63" i="15" s="1"/>
  <c r="AE60" i="15"/>
  <c r="BA62" i="15"/>
  <c r="BC62" i="15" s="1"/>
  <c r="BA63" i="15"/>
  <c r="BC63" i="15" s="1"/>
  <c r="BA64" i="15" s="1"/>
  <c r="BC64" i="15" s="1"/>
  <c r="AA60" i="15"/>
  <c r="I61" i="15"/>
  <c r="K61" i="15" s="1"/>
  <c r="H68" i="12" s="1"/>
  <c r="G60" i="15"/>
  <c r="O60" i="15"/>
  <c r="U61" i="15"/>
  <c r="W61" i="15" s="1"/>
  <c r="H71" i="12" s="1"/>
  <c r="AG65" i="15"/>
  <c r="AI65" i="15" s="1"/>
  <c r="AG64" i="15"/>
  <c r="AI64" i="15" s="1"/>
  <c r="AS65" i="15"/>
  <c r="AU65" i="15" s="1"/>
  <c r="AS64" i="15"/>
  <c r="AU64" i="15" s="1"/>
  <c r="AK65" i="15"/>
  <c r="AM65" i="15" s="1"/>
  <c r="AK64" i="15"/>
  <c r="AM64" i="15" s="1"/>
  <c r="E62" i="15"/>
  <c r="AW65" i="15"/>
  <c r="AY65" i="15" s="1"/>
  <c r="AW64" i="15"/>
  <c r="AY64" i="15" s="1"/>
  <c r="AO65" i="15"/>
  <c r="AQ65" i="15" s="1"/>
  <c r="AO64" i="15"/>
  <c r="AQ64" i="15" s="1"/>
  <c r="AC62" i="15"/>
  <c r="Y62" i="15"/>
  <c r="BE65" i="15"/>
  <c r="BG65" i="15" s="1"/>
  <c r="BE64" i="15"/>
  <c r="BG64" i="15" s="1"/>
  <c r="M62" i="15"/>
  <c r="Q61" i="15"/>
  <c r="S61" i="15" s="1"/>
  <c r="H70" i="12" s="1"/>
  <c r="S60" i="15"/>
  <c r="BA65" i="15" l="1"/>
  <c r="BC65" i="15" s="1"/>
  <c r="BA66" i="15" s="1"/>
  <c r="BC66" i="15" s="1"/>
  <c r="U62" i="15"/>
  <c r="I62" i="15"/>
  <c r="K62" i="15" s="1"/>
  <c r="AW67" i="15"/>
  <c r="AY67" i="15" s="1"/>
  <c r="AW66" i="15"/>
  <c r="AY66" i="15" s="1"/>
  <c r="AS67" i="15"/>
  <c r="AU67" i="15" s="1"/>
  <c r="AS66" i="15"/>
  <c r="AU66" i="15" s="1"/>
  <c r="Q62" i="15"/>
  <c r="AA62" i="15"/>
  <c r="Y63" i="15"/>
  <c r="AA63"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BA67" i="15" l="1"/>
  <c r="BC67" i="15" s="1"/>
  <c r="I63" i="15"/>
  <c r="K63" i="15" s="1"/>
  <c r="I64" i="15" s="1"/>
  <c r="AW69" i="15"/>
  <c r="AY69" i="15" s="1"/>
  <c r="AW68" i="15"/>
  <c r="AY68" i="15" s="1"/>
  <c r="AG69" i="15"/>
  <c r="AI69" i="15" s="1"/>
  <c r="AG68" i="15"/>
  <c r="AI68" i="15" s="1"/>
  <c r="M64" i="15"/>
  <c r="BA69" i="15"/>
  <c r="BC69" i="15" s="1"/>
  <c r="BA68" i="15"/>
  <c r="BC68" i="15" s="1"/>
  <c r="AS69" i="15"/>
  <c r="AU69" i="15" s="1"/>
  <c r="AS68" i="15"/>
  <c r="AU68" i="15" s="1"/>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C11" i="6"/>
  <c r="C14" i="6" s="1"/>
  <c r="I63" i="8"/>
  <c r="I61" i="8"/>
  <c r="I49" i="8"/>
  <c r="I39" i="8"/>
  <c r="I28" i="8" s="1"/>
  <c r="I35" i="8"/>
  <c r="I34" i="8"/>
  <c r="I29" i="8"/>
  <c r="I27" i="8"/>
  <c r="I24" i="8"/>
  <c r="H299" i="1"/>
  <c r="H291" i="1"/>
  <c r="H250" i="1"/>
  <c r="H225" i="1"/>
  <c r="I36" i="8"/>
  <c r="H208" i="1"/>
  <c r="H166" i="1"/>
  <c r="H162" i="1"/>
  <c r="H138" i="1"/>
  <c r="H137" i="1"/>
  <c r="H126" i="1"/>
  <c r="H125" i="1"/>
  <c r="H236" i="1"/>
  <c r="I33" i="8"/>
  <c r="H215" i="1"/>
  <c r="H218" i="1" s="1"/>
  <c r="J23" i="17"/>
  <c r="I23" i="17"/>
  <c r="G7" i="9" s="1"/>
  <c r="H7" i="9" s="1"/>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N23" i="18"/>
  <c r="E23" i="17" s="1"/>
  <c r="M23" i="17" s="1"/>
  <c r="N22" i="18"/>
  <c r="E22" i="17" s="1"/>
  <c r="N21" i="18"/>
  <c r="E21" i="17" s="1"/>
  <c r="N20" i="18"/>
  <c r="E20" i="17" s="1"/>
  <c r="N19" i="18"/>
  <c r="E19" i="17" s="1"/>
  <c r="N18" i="18"/>
  <c r="E18" i="17" s="1"/>
  <c r="N17" i="18"/>
  <c r="E17" i="17" s="1"/>
  <c r="N16" i="18"/>
  <c r="E16" i="17" s="1"/>
  <c r="N15" i="18"/>
  <c r="E15" i="17" s="1"/>
  <c r="N14" i="18"/>
  <c r="E14" i="17" s="1"/>
  <c r="N13" i="18"/>
  <c r="E13" i="17" s="1"/>
  <c r="N12" i="18"/>
  <c r="E12" i="17" s="1"/>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0" i="1" s="1"/>
  <c r="H24" i="17" l="1"/>
  <c r="D47" i="17"/>
  <c r="H60" i="1" s="1"/>
  <c r="E24" i="17"/>
  <c r="I24" i="17"/>
  <c r="H26" i="1" s="1"/>
  <c r="J24" i="17"/>
  <c r="J26" i="17" s="1"/>
  <c r="G24" i="17"/>
  <c r="H127" i="1"/>
  <c r="H228" i="1"/>
  <c r="I21" i="8"/>
  <c r="I62" i="8"/>
  <c r="E70" i="19"/>
  <c r="M14" i="17"/>
  <c r="M18" i="17"/>
  <c r="M22" i="17"/>
  <c r="H76" i="1"/>
  <c r="C16" i="6"/>
  <c r="H113" i="1"/>
  <c r="C24" i="17"/>
  <c r="H46" i="1" s="1"/>
  <c r="M17" i="17"/>
  <c r="M19" i="17"/>
  <c r="D74" i="19"/>
  <c r="M15" i="17"/>
  <c r="M20" i="17"/>
  <c r="M12" i="17"/>
  <c r="H26" i="17"/>
  <c r="N24" i="18"/>
  <c r="G64" i="18"/>
  <c r="H116" i="1"/>
  <c r="H64" i="18"/>
  <c r="D52" i="18"/>
  <c r="K23" i="17"/>
  <c r="C15" i="6"/>
  <c r="M13" i="17"/>
  <c r="M16" i="17"/>
  <c r="M11" i="17"/>
  <c r="M21" i="17"/>
  <c r="H252" i="1"/>
  <c r="C52" i="18"/>
  <c r="D53" i="18"/>
  <c r="H163" i="1"/>
  <c r="H209" i="1"/>
  <c r="I30" i="8"/>
  <c r="I40" i="8" s="1"/>
  <c r="I20" i="8"/>
  <c r="F32" i="5"/>
  <c r="G32" i="5" s="1"/>
  <c r="C29" i="6"/>
  <c r="H143" i="1"/>
  <c r="H191" i="1"/>
  <c r="I48" i="8"/>
  <c r="I37" i="8"/>
  <c r="I38" i="8" s="1"/>
  <c r="K11" i="17"/>
  <c r="L11" i="17"/>
  <c r="D12" i="17"/>
  <c r="L12" i="17" s="1"/>
  <c r="D35" i="7"/>
  <c r="D36" i="7" s="1"/>
  <c r="D38" i="7" s="1"/>
  <c r="D39" i="7" s="1"/>
  <c r="D24" i="7" s="1"/>
  <c r="G24" i="7" s="1"/>
  <c r="H186" i="1"/>
  <c r="D8" i="19"/>
  <c r="G8" i="19" s="1"/>
  <c r="H157" i="1"/>
  <c r="H114" i="1"/>
  <c r="H57" i="1"/>
  <c r="D14" i="19"/>
  <c r="D15" i="19"/>
  <c r="H192" i="1"/>
  <c r="G38" i="19"/>
  <c r="H254" i="1" l="1"/>
  <c r="J301" i="9"/>
  <c r="F12" i="17"/>
  <c r="M24" i="17"/>
  <c r="M26" i="17" s="1"/>
  <c r="I22" i="8"/>
  <c r="I47" i="8" s="1"/>
  <c r="H253" i="1"/>
  <c r="H28" i="1"/>
  <c r="H30" i="1"/>
  <c r="C17" i="6"/>
  <c r="C26" i="17"/>
  <c r="G74" i="19"/>
  <c r="H115" i="1"/>
  <c r="D75" i="19"/>
  <c r="I64" i="8"/>
  <c r="I66" i="8" s="1"/>
  <c r="E26" i="17"/>
  <c r="H54" i="1"/>
  <c r="H70" i="1"/>
  <c r="H193" i="1"/>
  <c r="H235" i="1"/>
  <c r="C53" i="18"/>
  <c r="F13" i="17"/>
  <c r="D54" i="18"/>
  <c r="F14" i="17" s="1"/>
  <c r="K14" i="17" s="1"/>
  <c r="H229" i="1"/>
  <c r="I41" i="8"/>
  <c r="G10" i="19"/>
  <c r="H50" i="1"/>
  <c r="D13" i="17"/>
  <c r="L13" i="17" s="1"/>
  <c r="C75" i="19"/>
  <c r="G39" i="19"/>
  <c r="E66" i="12" l="1"/>
  <c r="E93" i="12" s="1"/>
  <c r="I18" i="12"/>
  <c r="H258" i="1"/>
  <c r="Q395" i="45"/>
  <c r="Q397" i="45" s="1"/>
  <c r="Q407" i="45" s="1"/>
  <c r="Q409" i="45" s="1"/>
  <c r="Q110" i="45"/>
  <c r="Q112" i="45" s="1"/>
  <c r="M110" i="45"/>
  <c r="M112" i="45" s="1"/>
  <c r="M122" i="45" s="1"/>
  <c r="K395" i="45"/>
  <c r="K397" i="45" s="1"/>
  <c r="K407" i="45" s="1"/>
  <c r="K409" i="45" s="1"/>
  <c r="O395" i="45"/>
  <c r="O397" i="45" s="1"/>
  <c r="O407" i="45" s="1"/>
  <c r="O409" i="45" s="1"/>
  <c r="O110" i="45"/>
  <c r="O112" i="45" s="1"/>
  <c r="O122" i="45" s="1"/>
  <c r="M395" i="45"/>
  <c r="M397" i="45" s="1"/>
  <c r="M407" i="45" s="1"/>
  <c r="M409" i="45" s="1"/>
  <c r="K110" i="45"/>
  <c r="K112" i="45" s="1"/>
  <c r="K122" i="45" s="1"/>
  <c r="L301" i="9"/>
  <c r="L306" i="9" s="1"/>
  <c r="H267" i="1"/>
  <c r="I65" i="8"/>
  <c r="K12" i="17"/>
  <c r="I79" i="8"/>
  <c r="I70" i="8"/>
  <c r="I45" i="8"/>
  <c r="I53" i="8" s="1"/>
  <c r="I43" i="8"/>
  <c r="I51" i="8" s="1"/>
  <c r="I44" i="8"/>
  <c r="I52" i="8" s="1"/>
  <c r="H233" i="1"/>
  <c r="H232" i="1"/>
  <c r="H231" i="1"/>
  <c r="H117" i="1"/>
  <c r="H73" i="1"/>
  <c r="H74" i="1"/>
  <c r="H21" i="1"/>
  <c r="G75" i="19"/>
  <c r="D76" i="19"/>
  <c r="K13" i="17"/>
  <c r="D55" i="18"/>
  <c r="C54" i="18"/>
  <c r="H290" i="1"/>
  <c r="D14" i="17"/>
  <c r="L14" i="17" s="1"/>
  <c r="G40" i="19"/>
  <c r="H262" i="1" l="1"/>
  <c r="H266" i="1" s="1"/>
  <c r="H268" i="1" s="1"/>
  <c r="O421" i="45"/>
  <c r="O423" i="45" s="1"/>
  <c r="O124" i="45"/>
  <c r="Q124" i="45"/>
  <c r="Q421" i="45"/>
  <c r="Q423" i="45" s="1"/>
  <c r="K124" i="45"/>
  <c r="K421" i="45"/>
  <c r="K423" i="45" s="1"/>
  <c r="M124" i="45"/>
  <c r="M421" i="45"/>
  <c r="M423" i="45" s="1"/>
  <c r="H240" i="1"/>
  <c r="H292" i="1"/>
  <c r="H239" i="1"/>
  <c r="H241" i="1"/>
  <c r="D77" i="19"/>
  <c r="C76" i="19"/>
  <c r="I54" i="8"/>
  <c r="F15" i="17"/>
  <c r="D56" i="18"/>
  <c r="F16" i="17" s="1"/>
  <c r="K16" i="17" s="1"/>
  <c r="C55" i="18"/>
  <c r="D15" i="17"/>
  <c r="L15" i="17" s="1"/>
  <c r="G41" i="19"/>
  <c r="I74" i="8" l="1"/>
  <c r="I78" i="8" s="1"/>
  <c r="I80" i="8" s="1"/>
  <c r="H242" i="1"/>
  <c r="H293" i="1"/>
  <c r="G76" i="19"/>
  <c r="C77" i="19"/>
  <c r="G77" i="19" s="1"/>
  <c r="D78" i="19"/>
  <c r="C56" i="18"/>
  <c r="D57" i="18"/>
  <c r="F17" i="17" s="1"/>
  <c r="K17" i="17" s="1"/>
  <c r="K15" i="17"/>
  <c r="D16" i="17"/>
  <c r="L16" i="17" s="1"/>
  <c r="G42" i="19"/>
  <c r="D79" i="19" l="1"/>
  <c r="C78" i="19"/>
  <c r="G78" i="19" s="1"/>
  <c r="D58" i="18"/>
  <c r="C57" i="18"/>
  <c r="D17" i="17"/>
  <c r="L17" i="17" s="1"/>
  <c r="G43" i="19"/>
  <c r="C79" i="19" l="1"/>
  <c r="G79" i="19" s="1"/>
  <c r="D80" i="19"/>
  <c r="F18" i="17"/>
  <c r="C58" i="18"/>
  <c r="D59" i="18"/>
  <c r="F19" i="17" s="1"/>
  <c r="K19" i="17" s="1"/>
  <c r="D18" i="17"/>
  <c r="L18" i="17" s="1"/>
  <c r="G44" i="19"/>
  <c r="C80" i="19" l="1"/>
  <c r="G80" i="19" s="1"/>
  <c r="D81" i="19"/>
  <c r="C59" i="18"/>
  <c r="D60" i="18"/>
  <c r="F20" i="17" s="1"/>
  <c r="K20" i="17" s="1"/>
  <c r="K18" i="17"/>
  <c r="D19" i="17"/>
  <c r="L19" i="17" s="1"/>
  <c r="G45" i="19"/>
  <c r="C81" i="19" l="1"/>
  <c r="G81" i="19" s="1"/>
  <c r="D82" i="19"/>
  <c r="D61" i="18"/>
  <c r="F21" i="17" s="1"/>
  <c r="K21" i="17" s="1"/>
  <c r="C60" i="18"/>
  <c r="D20" i="17"/>
  <c r="L20" i="17" s="1"/>
  <c r="G46" i="19"/>
  <c r="C82" i="19" l="1"/>
  <c r="G82" i="19" s="1"/>
  <c r="D83" i="19"/>
  <c r="C62" i="18"/>
  <c r="C61" i="18"/>
  <c r="D62" i="18"/>
  <c r="D64" i="18" s="1"/>
  <c r="K24" i="18"/>
  <c r="H19" i="1" s="1"/>
  <c r="D21" i="17"/>
  <c r="L21" i="17" s="1"/>
  <c r="G47" i="19"/>
  <c r="C64" i="18" l="1"/>
  <c r="H22" i="1"/>
  <c r="D84" i="19"/>
  <c r="C83" i="19"/>
  <c r="G83" i="19" s="1"/>
  <c r="F22" i="17"/>
  <c r="F24" i="17" s="1"/>
  <c r="D22" i="17"/>
  <c r="L22" i="17" s="1"/>
  <c r="G48" i="19"/>
  <c r="C84" i="19" l="1"/>
  <c r="G84" i="19" s="1"/>
  <c r="D85" i="19"/>
  <c r="D86" i="19" s="1"/>
  <c r="C15" i="19" s="1"/>
  <c r="D51" i="19"/>
  <c r="I25" i="17" s="1"/>
  <c r="H24" i="1"/>
  <c r="K22" i="17"/>
  <c r="K24" i="17" s="1"/>
  <c r="M24" i="18"/>
  <c r="D23" i="17"/>
  <c r="D24" i="17" s="1"/>
  <c r="G49" i="19"/>
  <c r="H260" i="9" l="1"/>
  <c r="I260" i="9" s="1"/>
  <c r="H184" i="1"/>
  <c r="G15" i="19"/>
  <c r="C85" i="19"/>
  <c r="H27" i="1"/>
  <c r="I26" i="17"/>
  <c r="F26" i="17"/>
  <c r="H66" i="1"/>
  <c r="K26" i="17"/>
  <c r="L23" i="17"/>
  <c r="L24" i="17" s="1"/>
  <c r="G50" i="19"/>
  <c r="G51" i="19" s="1"/>
  <c r="C51" i="19"/>
  <c r="I19" i="12" l="1"/>
  <c r="H66" i="12"/>
  <c r="H93" i="12" s="1"/>
  <c r="H68" i="1"/>
  <c r="H72" i="1"/>
  <c r="H305" i="1"/>
  <c r="H25" i="1"/>
  <c r="G25" i="17"/>
  <c r="G85" i="19"/>
  <c r="C86" i="19"/>
  <c r="C14" i="19" s="1"/>
  <c r="H52" i="1"/>
  <c r="H32" i="1" l="1"/>
  <c r="H315" i="1"/>
  <c r="G86" i="19"/>
  <c r="H71" i="1"/>
  <c r="G26" i="17"/>
  <c r="H75" i="1" l="1"/>
  <c r="H34" i="1"/>
  <c r="H259" i="9"/>
  <c r="I259" i="9" s="1"/>
  <c r="H182" i="1"/>
  <c r="C17" i="19"/>
  <c r="C33" i="19" s="1"/>
  <c r="G14" i="19"/>
  <c r="G17" i="19" s="1"/>
  <c r="H77" i="1" l="1"/>
  <c r="H185" i="1"/>
  <c r="C28" i="19"/>
  <c r="C64" i="19" s="1"/>
  <c r="C29" i="19"/>
  <c r="C65" i="19" s="1"/>
  <c r="C22" i="19"/>
  <c r="C58" i="19" s="1"/>
  <c r="C21" i="19"/>
  <c r="C57" i="19" s="1"/>
  <c r="C31" i="19"/>
  <c r="C67" i="19" s="1"/>
  <c r="C27" i="19"/>
  <c r="C63" i="19" s="1"/>
  <c r="C32" i="19"/>
  <c r="C68" i="19" s="1"/>
  <c r="C69" i="19"/>
  <c r="C25" i="19"/>
  <c r="C24" i="19"/>
  <c r="D29" i="19"/>
  <c r="D65" i="19" s="1"/>
  <c r="D27" i="19"/>
  <c r="D63" i="19" s="1"/>
  <c r="D28" i="19"/>
  <c r="D64" i="19" s="1"/>
  <c r="D26" i="19"/>
  <c r="D62" i="19" s="1"/>
  <c r="D24" i="19"/>
  <c r="D60" i="19" s="1"/>
  <c r="D33" i="19"/>
  <c r="D69" i="19" s="1"/>
  <c r="D32" i="19"/>
  <c r="D68" i="19" s="1"/>
  <c r="D22" i="19"/>
  <c r="D58" i="19" s="1"/>
  <c r="D25" i="19"/>
  <c r="D61" i="19" s="1"/>
  <c r="D23" i="19"/>
  <c r="D59" i="19" s="1"/>
  <c r="D30" i="19"/>
  <c r="D66" i="19" s="1"/>
  <c r="D21" i="19"/>
  <c r="D57" i="19" s="1"/>
  <c r="D31" i="19"/>
  <c r="D67" i="19" s="1"/>
  <c r="C26" i="19"/>
  <c r="C30" i="19"/>
  <c r="C23" i="19"/>
  <c r="H187" i="1" l="1"/>
  <c r="I26" i="12" s="1"/>
  <c r="I27" i="12" s="1"/>
  <c r="L27" i="12" s="1"/>
  <c r="H79" i="1"/>
  <c r="G21" i="19"/>
  <c r="G22" i="19"/>
  <c r="G67" i="19"/>
  <c r="G65" i="19"/>
  <c r="G28" i="19"/>
  <c r="G63" i="19"/>
  <c r="G24" i="19"/>
  <c r="C60" i="19"/>
  <c r="G60" i="19" s="1"/>
  <c r="G30" i="19"/>
  <c r="C66" i="19"/>
  <c r="G66" i="19" s="1"/>
  <c r="G32" i="19"/>
  <c r="C34" i="19"/>
  <c r="G27" i="19"/>
  <c r="G29" i="19"/>
  <c r="G25" i="19"/>
  <c r="C61" i="19"/>
  <c r="G61" i="19" s="1"/>
  <c r="G31" i="19"/>
  <c r="G69" i="19"/>
  <c r="G26" i="19"/>
  <c r="C62" i="19"/>
  <c r="G62" i="19" s="1"/>
  <c r="G23" i="19"/>
  <c r="C59" i="19"/>
  <c r="G59" i="19" s="1"/>
  <c r="D70" i="19"/>
  <c r="D34" i="19"/>
  <c r="G68" i="19"/>
  <c r="G64" i="19"/>
  <c r="G58" i="19"/>
  <c r="G57" i="19"/>
  <c r="G33" i="19"/>
  <c r="H196" i="1" l="1"/>
  <c r="H282" i="1" s="1"/>
  <c r="G34" i="19"/>
  <c r="D25" i="17" s="1"/>
  <c r="H53" i="1" s="1"/>
  <c r="G70" i="19"/>
  <c r="C70" i="19"/>
  <c r="H56" i="1" l="1"/>
  <c r="L25" i="17"/>
  <c r="L26" i="17" s="1"/>
  <c r="D26" i="17"/>
  <c r="H58" i="1" l="1"/>
  <c r="H62" i="1" s="1"/>
  <c r="E75" i="13" l="1"/>
  <c r="E77" i="13" s="1"/>
  <c r="E66" i="13"/>
  <c r="B64" i="13"/>
  <c r="H36" i="1" l="1"/>
  <c r="H81" i="1"/>
  <c r="F41" i="14"/>
  <c r="F42" i="14" s="1"/>
  <c r="F43" i="14" s="1"/>
  <c r="F44" i="14" s="1"/>
  <c r="F45" i="14" s="1"/>
  <c r="F46" i="14" s="1"/>
  <c r="F47" i="14" s="1"/>
  <c r="F48" i="14" s="1"/>
  <c r="F49" i="14" s="1"/>
  <c r="F50" i="14" s="1"/>
  <c r="F51" i="14" s="1"/>
  <c r="F52" i="14" s="1"/>
  <c r="F53" i="14" s="1"/>
  <c r="F54" i="14" s="1"/>
  <c r="F55" i="14" s="1"/>
  <c r="F56" i="14" s="1"/>
  <c r="F57" i="14" s="1"/>
  <c r="F58" i="14" s="1"/>
  <c r="F59" i="14" s="1"/>
  <c r="J48" i="13"/>
  <c r="F60" i="14" l="1"/>
  <c r="G60" i="14" s="1"/>
  <c r="G59" i="14"/>
  <c r="H277" i="1"/>
  <c r="H39" i="1"/>
  <c r="H37" i="1"/>
  <c r="H148" i="42" l="1"/>
  <c r="H151" i="42" s="1"/>
  <c r="H77" i="42"/>
  <c r="H314" i="42"/>
  <c r="H317" i="42" s="1"/>
  <c r="E317" i="42" s="1"/>
  <c r="H257" i="1" s="1"/>
  <c r="H175" i="42"/>
  <c r="H294" i="42"/>
  <c r="H297" i="42" s="1"/>
  <c r="H104" i="42"/>
  <c r="H107" i="42" s="1"/>
  <c r="E107" i="42" s="1"/>
  <c r="H250" i="42"/>
  <c r="H253" i="42" s="1"/>
  <c r="E253" i="42" s="1"/>
  <c r="H80" i="42"/>
  <c r="H223" i="42"/>
  <c r="H226" i="42" s="1"/>
  <c r="H147" i="9"/>
  <c r="G153" i="9" s="1"/>
  <c r="G21" i="7" s="1"/>
  <c r="G23" i="7" s="1"/>
  <c r="W133" i="9"/>
  <c r="X133" i="9" s="1"/>
  <c r="AC133" i="9" s="1"/>
  <c r="W121" i="9"/>
  <c r="W125" i="9"/>
  <c r="X125" i="9" s="1"/>
  <c r="AC125" i="9" s="1"/>
  <c r="W129" i="9"/>
  <c r="X129" i="9" s="1"/>
  <c r="AC129" i="9" s="1"/>
  <c r="W117" i="9"/>
  <c r="W118" i="9"/>
  <c r="X118" i="9" s="1"/>
  <c r="AC118" i="9" s="1"/>
  <c r="W122" i="9"/>
  <c r="W126" i="9"/>
  <c r="X126" i="9" s="1"/>
  <c r="AC126" i="9" s="1"/>
  <c r="W119" i="9"/>
  <c r="X119" i="9" s="1"/>
  <c r="AC119" i="9" s="1"/>
  <c r="W123" i="9"/>
  <c r="X123" i="9" s="1"/>
  <c r="AC123" i="9" s="1"/>
  <c r="W127" i="9"/>
  <c r="X127" i="9" s="1"/>
  <c r="AC127" i="9" s="1"/>
  <c r="W131" i="9"/>
  <c r="X131" i="9" s="1"/>
  <c r="AC131" i="9" s="1"/>
  <c r="W120" i="9"/>
  <c r="X120" i="9" s="1"/>
  <c r="AC120" i="9" s="1"/>
  <c r="W124" i="9"/>
  <c r="X124" i="9" s="1"/>
  <c r="AC124" i="9" s="1"/>
  <c r="W128" i="9"/>
  <c r="X128" i="9" s="1"/>
  <c r="AC128" i="9" s="1"/>
  <c r="W132" i="9"/>
  <c r="X132" i="9" s="1"/>
  <c r="AC132" i="9" s="1"/>
  <c r="W130" i="9"/>
  <c r="X130" i="9" s="1"/>
  <c r="AC130" i="9" s="1"/>
  <c r="H40" i="1"/>
  <c r="H26" i="33" s="1"/>
  <c r="F41" i="5"/>
  <c r="G41" i="5" s="1"/>
  <c r="F20" i="5"/>
  <c r="H13" i="42" l="1"/>
  <c r="E13" i="42" s="1"/>
  <c r="E151" i="42"/>
  <c r="X117" i="9"/>
  <c r="AC117" i="9" s="1"/>
  <c r="AC136" i="9" s="1"/>
  <c r="H105" i="1" s="1"/>
  <c r="H14" i="42"/>
  <c r="E14" i="42" s="1"/>
  <c r="L131" i="41" s="1"/>
  <c r="L133" i="41" s="1"/>
  <c r="L135" i="41" s="1"/>
  <c r="L137" i="41" s="1"/>
  <c r="H89" i="1" s="1"/>
  <c r="E226" i="42"/>
  <c r="H15" i="42"/>
  <c r="E15" i="42" s="1"/>
  <c r="E297" i="42"/>
  <c r="H11" i="42"/>
  <c r="E80" i="42"/>
  <c r="I179" i="42"/>
  <c r="H178" i="42"/>
  <c r="E178" i="42" s="1"/>
  <c r="I69" i="8"/>
  <c r="I71" i="8" s="1"/>
  <c r="H259" i="1"/>
  <c r="G25" i="7"/>
  <c r="H298" i="1" s="1"/>
  <c r="I33" i="12" s="1"/>
  <c r="I34" i="12" s="1"/>
  <c r="L34" i="12" s="1"/>
  <c r="G20" i="5"/>
  <c r="F19" i="5"/>
  <c r="H168" i="1"/>
  <c r="L98" i="41" l="1"/>
  <c r="L100" i="41" s="1"/>
  <c r="L102" i="41" s="1"/>
  <c r="L104" i="41" s="1"/>
  <c r="H88" i="1" s="1"/>
  <c r="R98" i="41"/>
  <c r="R100" i="41" s="1"/>
  <c r="R102" i="41" s="1"/>
  <c r="R104" i="41" s="1"/>
  <c r="X136" i="9"/>
  <c r="E11" i="42"/>
  <c r="H17" i="42"/>
  <c r="F18" i="5"/>
  <c r="G19" i="5"/>
  <c r="E17" i="42" l="1"/>
  <c r="L32" i="41"/>
  <c r="L34" i="41" s="1"/>
  <c r="L36" i="41" s="1"/>
  <c r="L38" i="41" s="1"/>
  <c r="H91" i="1" s="1"/>
  <c r="H98" i="1" s="1"/>
  <c r="G18" i="5"/>
  <c r="F17" i="5"/>
  <c r="F16" i="5" l="1"/>
  <c r="G16" i="5" s="1"/>
  <c r="G17" i="5"/>
  <c r="C47" i="17" l="1"/>
  <c r="H100" i="1" s="1"/>
  <c r="F30" i="13" l="1"/>
  <c r="F27" i="13"/>
  <c r="F32" i="13"/>
  <c r="F23" i="13"/>
  <c r="F31" i="13"/>
  <c r="F20" i="13"/>
  <c r="F22" i="13"/>
  <c r="F26" i="13"/>
  <c r="F21" i="13"/>
  <c r="F25" i="13"/>
  <c r="F28" i="13"/>
  <c r="F19" i="13"/>
  <c r="F24" i="13"/>
  <c r="F29" i="13"/>
  <c r="E81" i="13" l="1"/>
  <c r="F18" i="13" l="1"/>
  <c r="F46" i="13" s="1"/>
  <c r="H151" i="1"/>
  <c r="H165" i="1" s="1"/>
  <c r="H167" i="1" s="1"/>
  <c r="H169" i="1" s="1"/>
  <c r="H24" i="33"/>
  <c r="H27" i="33" s="1"/>
  <c r="E24" i="33"/>
  <c r="G268" i="9" s="1"/>
  <c r="H153" i="1"/>
  <c r="H152" i="1"/>
  <c r="I24" i="33"/>
  <c r="I27" i="33" s="1"/>
  <c r="J28" i="33" l="1"/>
  <c r="G250" i="9"/>
  <c r="N250" i="9" s="1"/>
  <c r="H147" i="1"/>
  <c r="H156" i="1" l="1"/>
  <c r="H158" i="1" s="1"/>
  <c r="H171" i="1" s="1"/>
  <c r="I22" i="12" s="1"/>
  <c r="I23" i="12" s="1"/>
  <c r="L23" i="12" s="1"/>
  <c r="H120" i="1" l="1"/>
  <c r="H122" i="1" s="1"/>
  <c r="H281" i="1"/>
  <c r="C24" i="6" l="1"/>
  <c r="C28" i="6" s="1"/>
  <c r="C30" i="6" s="1"/>
  <c r="C35" i="6" s="1"/>
  <c r="C23" i="6"/>
  <c r="C22" i="6"/>
  <c r="C34" i="6" l="1"/>
  <c r="C36" i="6" s="1"/>
  <c r="C25" i="6"/>
  <c r="G15" i="5" l="1"/>
  <c r="G14" i="5" l="1"/>
  <c r="G21" i="5" s="1"/>
  <c r="E21" i="5"/>
  <c r="E66" i="5" s="1"/>
  <c r="E70" i="5" s="1"/>
  <c r="G109" i="9"/>
  <c r="G34" i="17" s="1"/>
  <c r="O109" i="9"/>
  <c r="G42" i="17" s="1"/>
  <c r="M109" i="9"/>
  <c r="G40" i="17" s="1"/>
  <c r="P109" i="9"/>
  <c r="G43" i="17" s="1"/>
  <c r="K109" i="9"/>
  <c r="G38" i="17" s="1"/>
  <c r="S109" i="9"/>
  <c r="G46" i="17" s="1"/>
  <c r="I109" i="9"/>
  <c r="G36" i="17" s="1"/>
  <c r="H109" i="9"/>
  <c r="G35" i="17" s="1"/>
  <c r="Q109" i="9"/>
  <c r="G44" i="17" s="1"/>
  <c r="N109" i="9"/>
  <c r="G41" i="17" s="1"/>
  <c r="J109" i="9"/>
  <c r="G37" i="17" s="1"/>
  <c r="R109" i="9"/>
  <c r="G45" i="17" s="1"/>
  <c r="L109" i="9"/>
  <c r="G39" i="17" s="1"/>
  <c r="G47" i="17" l="1"/>
  <c r="H108" i="1" s="1"/>
  <c r="G43" i="5"/>
  <c r="H200" i="1" s="1"/>
  <c r="H202" i="1" s="1"/>
  <c r="I30" i="12" s="1"/>
  <c r="I31" i="12" s="1"/>
  <c r="L31" i="12" s="1"/>
  <c r="L36" i="12" s="1"/>
  <c r="F80" i="12" l="1"/>
  <c r="G80" i="12" s="1"/>
  <c r="F81" i="12"/>
  <c r="G81" i="12" s="1"/>
  <c r="F67" i="12"/>
  <c r="G67" i="12" s="1"/>
  <c r="F74" i="12"/>
  <c r="G74" i="12" s="1"/>
  <c r="F72" i="12"/>
  <c r="G72" i="12" s="1"/>
  <c r="F78" i="12"/>
  <c r="G78" i="12" s="1"/>
  <c r="F82" i="12"/>
  <c r="G82" i="12" s="1"/>
  <c r="F70" i="12"/>
  <c r="G70" i="12" s="1"/>
  <c r="F77" i="12"/>
  <c r="G77" i="12" s="1"/>
  <c r="F76" i="12"/>
  <c r="G76" i="12" s="1"/>
  <c r="F73" i="12"/>
  <c r="G73" i="12" s="1"/>
  <c r="F66" i="12"/>
  <c r="G66" i="12" s="1"/>
  <c r="F71" i="12"/>
  <c r="G71" i="12" s="1"/>
  <c r="F83" i="12"/>
  <c r="G83" i="12" s="1"/>
  <c r="F69" i="12"/>
  <c r="G69" i="12" s="1"/>
  <c r="F75" i="12"/>
  <c r="G75" i="12" s="1"/>
  <c r="F79" i="12"/>
  <c r="G79" i="12" s="1"/>
  <c r="F68" i="12"/>
  <c r="G68" i="12" s="1"/>
  <c r="H283" i="1"/>
  <c r="H109" i="1"/>
  <c r="H129" i="1" s="1"/>
  <c r="H278" i="1" l="1"/>
  <c r="H131" i="1"/>
  <c r="G93" i="12" l="1"/>
  <c r="I16" i="8"/>
  <c r="I56" i="8" s="1"/>
  <c r="H279" i="1"/>
  <c r="H244" i="1"/>
  <c r="H284" i="1" l="1"/>
  <c r="I43" i="12" s="1"/>
  <c r="I44" i="12" s="1"/>
  <c r="H270" i="1"/>
  <c r="I83" i="8"/>
  <c r="I85" i="8" l="1"/>
  <c r="I9" i="8" s="1"/>
  <c r="H313" i="1" s="1"/>
  <c r="L44" i="12"/>
  <c r="H272" i="1"/>
  <c r="H285" i="1" s="1"/>
  <c r="I39" i="12" l="1"/>
  <c r="I40" i="12" s="1"/>
  <c r="L40" i="12" s="1"/>
  <c r="L46" i="12" s="1"/>
  <c r="H287" i="1"/>
  <c r="H294" i="1" s="1"/>
  <c r="H295" i="1" s="1"/>
  <c r="H301" i="1" s="1"/>
  <c r="H312" i="1" s="1"/>
  <c r="H314" i="1" s="1"/>
  <c r="I46" i="12" l="1"/>
  <c r="I83" i="12"/>
  <c r="J83" i="12" s="1"/>
  <c r="L83" i="12" s="1"/>
  <c r="O83" i="12" s="1"/>
  <c r="Q83" i="12" s="1"/>
  <c r="I75" i="12"/>
  <c r="J75" i="12" s="1"/>
  <c r="L75" i="12" s="1"/>
  <c r="I66" i="12"/>
  <c r="J66" i="12" s="1"/>
  <c r="L66" i="12" s="1"/>
  <c r="O66" i="12" s="1"/>
  <c r="Q66" i="12" s="1"/>
  <c r="I72" i="12"/>
  <c r="J72" i="12" s="1"/>
  <c r="L72" i="12" s="1"/>
  <c r="O72" i="12" s="1"/>
  <c r="Q72" i="12" s="1"/>
  <c r="I76" i="12"/>
  <c r="J76" i="12" s="1"/>
  <c r="L76" i="12" s="1"/>
  <c r="O76" i="12" s="1"/>
  <c r="Q76" i="12" s="1"/>
  <c r="I67" i="12"/>
  <c r="J67" i="12" s="1"/>
  <c r="L67" i="12" s="1"/>
  <c r="I74" i="12"/>
  <c r="J74" i="12" s="1"/>
  <c r="L74" i="12" s="1"/>
  <c r="I81" i="12"/>
  <c r="J81" i="12" s="1"/>
  <c r="L81" i="12" s="1"/>
  <c r="O81" i="12" s="1"/>
  <c r="Q81" i="12" s="1"/>
  <c r="I82" i="12"/>
  <c r="J82" i="12" s="1"/>
  <c r="L82" i="12" s="1"/>
  <c r="O82" i="12" s="1"/>
  <c r="Q82" i="12" s="1"/>
  <c r="I68" i="12"/>
  <c r="J68" i="12" s="1"/>
  <c r="L68" i="12" s="1"/>
  <c r="I70" i="12"/>
  <c r="J70" i="12" s="1"/>
  <c r="L70" i="12" s="1"/>
  <c r="O70" i="12" s="1"/>
  <c r="Q70" i="12" s="1"/>
  <c r="I71" i="12"/>
  <c r="J71" i="12" s="1"/>
  <c r="L71" i="12" s="1"/>
  <c r="O71" i="12" s="1"/>
  <c r="Q71" i="12" s="1"/>
  <c r="I77" i="12"/>
  <c r="J77" i="12" s="1"/>
  <c r="L77" i="12" s="1"/>
  <c r="O77" i="12" s="1"/>
  <c r="Q77" i="12" s="1"/>
  <c r="I79" i="12"/>
  <c r="J79" i="12" s="1"/>
  <c r="L79" i="12" s="1"/>
  <c r="O79" i="12" s="1"/>
  <c r="Q79" i="12" s="1"/>
  <c r="I78" i="12"/>
  <c r="J78" i="12" s="1"/>
  <c r="L78" i="12" s="1"/>
  <c r="I69" i="12"/>
  <c r="J69" i="12" s="1"/>
  <c r="L69" i="12" s="1"/>
  <c r="I73" i="12"/>
  <c r="J73" i="12" s="1"/>
  <c r="L73" i="12" s="1"/>
  <c r="O73" i="12" s="1"/>
  <c r="Q73" i="12" s="1"/>
  <c r="I80" i="12"/>
  <c r="J80" i="12" s="1"/>
  <c r="L80" i="12" s="1"/>
  <c r="O80" i="12" s="1"/>
  <c r="Q80" i="12" s="1"/>
  <c r="H304" i="1"/>
  <c r="H308" i="1" s="1"/>
  <c r="I18" i="15" s="1"/>
  <c r="H319" i="1"/>
  <c r="H317" i="1"/>
  <c r="I13" i="15" s="1"/>
  <c r="H316" i="1"/>
  <c r="H306" i="1" l="1"/>
  <c r="H307" i="1"/>
  <c r="I12" i="15" s="1"/>
  <c r="I14" i="15" s="1"/>
  <c r="J93" i="12"/>
  <c r="L93" i="12"/>
  <c r="AG29" i="15" l="1"/>
  <c r="AJ62" i="15" s="1"/>
  <c r="Q29" i="15"/>
  <c r="T60" i="15" s="1"/>
  <c r="I29" i="15"/>
  <c r="L68" i="15" s="1"/>
  <c r="AS29" i="15"/>
  <c r="AS30" i="15" s="1"/>
  <c r="BM29" i="15"/>
  <c r="BP70" i="15" s="1"/>
  <c r="AC29" i="15"/>
  <c r="AF74" i="15" s="1"/>
  <c r="AO29" i="15"/>
  <c r="AR68" i="15" s="1"/>
  <c r="Y29" i="15"/>
  <c r="AB64" i="15" s="1"/>
  <c r="M29" i="15"/>
  <c r="P64" i="15" s="1"/>
  <c r="BA29" i="15"/>
  <c r="BD72" i="15" s="1"/>
  <c r="BE29" i="15"/>
  <c r="BH64" i="15" s="1"/>
  <c r="E29" i="15"/>
  <c r="H62" i="15" s="1"/>
  <c r="AW29" i="15"/>
  <c r="AZ36" i="15" s="1"/>
  <c r="BQ29" i="15"/>
  <c r="BT50" i="15" s="1"/>
  <c r="AK29" i="15"/>
  <c r="AN64" i="15" s="1"/>
  <c r="U29" i="15"/>
  <c r="X70" i="15" s="1"/>
  <c r="BI29" i="15"/>
  <c r="BI30" i="15" s="1"/>
  <c r="BL67" i="15" s="1"/>
  <c r="T74" i="15"/>
  <c r="T36" i="15" l="1"/>
  <c r="AG30" i="15"/>
  <c r="AJ61" i="15" s="1"/>
  <c r="AJ72" i="15"/>
  <c r="AJ60" i="15"/>
  <c r="AJ68" i="15"/>
  <c r="Q30" i="15"/>
  <c r="T67" i="15" s="1"/>
  <c r="T72" i="15"/>
  <c r="T66" i="15"/>
  <c r="T70" i="15"/>
  <c r="T64" i="15"/>
  <c r="AJ64" i="15"/>
  <c r="AJ36" i="15"/>
  <c r="AJ66" i="15"/>
  <c r="AJ74" i="15"/>
  <c r="AJ70" i="15"/>
  <c r="T62" i="15"/>
  <c r="T68" i="15"/>
  <c r="AF66" i="15"/>
  <c r="AF60" i="15"/>
  <c r="AF36" i="15"/>
  <c r="BD70" i="15"/>
  <c r="BA30" i="15"/>
  <c r="BD71" i="15" s="1"/>
  <c r="AF64" i="15"/>
  <c r="AC30" i="15"/>
  <c r="AF67" i="15" s="1"/>
  <c r="AF70" i="15"/>
  <c r="AF72" i="15"/>
  <c r="AF68" i="15"/>
  <c r="AF62" i="15"/>
  <c r="BD60" i="15"/>
  <c r="BD64" i="15"/>
  <c r="AN62" i="15"/>
  <c r="L66" i="15"/>
  <c r="BH74" i="15"/>
  <c r="H68" i="15"/>
  <c r="L64" i="15"/>
  <c r="L72" i="15"/>
  <c r="AV64" i="15"/>
  <c r="L36" i="15"/>
  <c r="AR70" i="15"/>
  <c r="AR64" i="15"/>
  <c r="AR66" i="15"/>
  <c r="AR60" i="15"/>
  <c r="AV60" i="15"/>
  <c r="AR62" i="15"/>
  <c r="AR72" i="15"/>
  <c r="AR36" i="15"/>
  <c r="AV70" i="15"/>
  <c r="AO30" i="15"/>
  <c r="AR69" i="15" s="1"/>
  <c r="L70" i="15"/>
  <c r="L74" i="15"/>
  <c r="L62" i="15"/>
  <c r="BH62" i="15"/>
  <c r="AR74" i="15"/>
  <c r="AV62" i="15"/>
  <c r="I30" i="15"/>
  <c r="L69" i="15" s="1"/>
  <c r="H70" i="15"/>
  <c r="AN66" i="15"/>
  <c r="L60" i="15"/>
  <c r="AB66" i="15"/>
  <c r="AB74" i="15"/>
  <c r="X68" i="15"/>
  <c r="AB60" i="15"/>
  <c r="AB36" i="15"/>
  <c r="AB68" i="15"/>
  <c r="BP54" i="15"/>
  <c r="AV68" i="15"/>
  <c r="AV74" i="15"/>
  <c r="AV72" i="15"/>
  <c r="Y30" i="15"/>
  <c r="AB61" i="15" s="1"/>
  <c r="H66" i="15"/>
  <c r="P70" i="15"/>
  <c r="X60" i="15"/>
  <c r="X74" i="15"/>
  <c r="AB62" i="15"/>
  <c r="BP66" i="15"/>
  <c r="BP50" i="15"/>
  <c r="BL45" i="15"/>
  <c r="BU45" i="15" s="1"/>
  <c r="BV45" i="15" s="1"/>
  <c r="AV66" i="15"/>
  <c r="AV36" i="15"/>
  <c r="H60" i="15"/>
  <c r="P68" i="15"/>
  <c r="X72" i="15"/>
  <c r="AB72" i="15"/>
  <c r="AB70" i="15"/>
  <c r="BP62" i="15"/>
  <c r="BP74" i="15"/>
  <c r="P36" i="15"/>
  <c r="BP48" i="15"/>
  <c r="BP69" i="15"/>
  <c r="BP65" i="15"/>
  <c r="BP61" i="15"/>
  <c r="BP57" i="15"/>
  <c r="BP53" i="15"/>
  <c r="BP71" i="15"/>
  <c r="BP72" i="15"/>
  <c r="M30" i="15"/>
  <c r="P69" i="15" s="1"/>
  <c r="P66" i="15"/>
  <c r="P62" i="15"/>
  <c r="BM30" i="15"/>
  <c r="BP68" i="15"/>
  <c r="BP64" i="15"/>
  <c r="BP60" i="15"/>
  <c r="BP56" i="15"/>
  <c r="BP52" i="15"/>
  <c r="BP73" i="15"/>
  <c r="BP49" i="15"/>
  <c r="P60" i="15"/>
  <c r="AW30" i="15"/>
  <c r="P72" i="15"/>
  <c r="P74" i="15"/>
  <c r="BL56" i="15"/>
  <c r="BP67" i="15"/>
  <c r="BP63" i="15"/>
  <c r="BP55" i="15"/>
  <c r="BP51" i="15"/>
  <c r="BP75" i="15"/>
  <c r="BH70" i="15"/>
  <c r="AN74" i="15"/>
  <c r="BH72" i="15"/>
  <c r="BH68" i="15"/>
  <c r="BH60" i="15"/>
  <c r="BE30" i="15"/>
  <c r="BH73" i="15" s="1"/>
  <c r="AN36" i="15"/>
  <c r="AN60" i="15"/>
  <c r="BD66" i="15"/>
  <c r="BD74" i="15"/>
  <c r="BD62" i="15"/>
  <c r="AN68" i="15"/>
  <c r="BH66" i="15"/>
  <c r="BH36" i="15"/>
  <c r="AK30" i="15"/>
  <c r="AN69" i="15" s="1"/>
  <c r="AN72" i="15"/>
  <c r="AN70" i="15"/>
  <c r="BD68" i="15"/>
  <c r="BD36" i="15"/>
  <c r="BL60" i="15"/>
  <c r="BT74" i="15"/>
  <c r="BT70" i="15"/>
  <c r="BT65" i="15"/>
  <c r="BT60" i="15"/>
  <c r="BT55" i="15"/>
  <c r="BQ30" i="15"/>
  <c r="BT37" i="15" s="1"/>
  <c r="BT36" i="15"/>
  <c r="BT75" i="15"/>
  <c r="BT69" i="15"/>
  <c r="BT64" i="15"/>
  <c r="BT53" i="15"/>
  <c r="AZ64" i="15"/>
  <c r="BL70" i="15"/>
  <c r="BL52" i="15"/>
  <c r="BT73" i="15"/>
  <c r="BT68" i="15"/>
  <c r="BT62" i="15"/>
  <c r="BT57" i="15"/>
  <c r="BT52" i="15"/>
  <c r="AZ62" i="15"/>
  <c r="BL64" i="15"/>
  <c r="BL48" i="15"/>
  <c r="BT72" i="15"/>
  <c r="BT66" i="15"/>
  <c r="BT61" i="15"/>
  <c r="BT56" i="15"/>
  <c r="BT51" i="15"/>
  <c r="AZ68" i="15"/>
  <c r="BL63" i="15"/>
  <c r="BL55" i="15"/>
  <c r="BL47" i="15"/>
  <c r="BU47" i="15" s="1"/>
  <c r="BV47" i="15" s="1"/>
  <c r="U30" i="15"/>
  <c r="X73" i="15" s="1"/>
  <c r="H72" i="15"/>
  <c r="H64" i="15"/>
  <c r="AZ74" i="15"/>
  <c r="AZ66" i="15"/>
  <c r="AZ72" i="15"/>
  <c r="X64" i="15"/>
  <c r="X62" i="15"/>
  <c r="BL74" i="15"/>
  <c r="BL66" i="15"/>
  <c r="BL62" i="15"/>
  <c r="BL54" i="15"/>
  <c r="BL50" i="15"/>
  <c r="BL46" i="15"/>
  <c r="BU46" i="15" s="1"/>
  <c r="BW46" i="15" s="1"/>
  <c r="BL42" i="15"/>
  <c r="BU42" i="15" s="1"/>
  <c r="BW42" i="15" s="1"/>
  <c r="AZ60" i="15"/>
  <c r="AZ70" i="15"/>
  <c r="BL68" i="15"/>
  <c r="BL51" i="15"/>
  <c r="BL43" i="15"/>
  <c r="BU43" i="15" s="1"/>
  <c r="BV43" i="15" s="1"/>
  <c r="E30" i="15"/>
  <c r="H63" i="15" s="1"/>
  <c r="H74" i="15"/>
  <c r="X66" i="15"/>
  <c r="X36" i="15"/>
  <c r="BL72" i="15"/>
  <c r="BL65" i="15"/>
  <c r="BL61" i="15"/>
  <c r="BL57" i="15"/>
  <c r="BL53" i="15"/>
  <c r="BL49" i="15"/>
  <c r="BL44" i="15"/>
  <c r="BU44" i="15" s="1"/>
  <c r="BW44" i="15" s="1"/>
  <c r="BT71" i="15"/>
  <c r="BT67" i="15"/>
  <c r="BT63" i="15"/>
  <c r="BT54" i="15"/>
  <c r="BL73" i="15"/>
  <c r="BL71" i="15"/>
  <c r="BL69" i="15"/>
  <c r="BL75" i="15"/>
  <c r="AV69" i="15"/>
  <c r="AV71" i="15"/>
  <c r="AV37" i="15"/>
  <c r="AV67" i="15"/>
  <c r="AV73" i="15"/>
  <c r="AV63" i="15"/>
  <c r="AV65" i="15"/>
  <c r="AV75" i="15"/>
  <c r="AV61" i="15"/>
  <c r="AJ37" i="15"/>
  <c r="AJ67" i="15" l="1"/>
  <c r="N74" i="12"/>
  <c r="O74" i="12" s="1"/>
  <c r="Q74" i="12" s="1"/>
  <c r="AJ65" i="15"/>
  <c r="AJ71" i="15"/>
  <c r="AJ63" i="15"/>
  <c r="AJ73" i="15"/>
  <c r="AJ75" i="15"/>
  <c r="AJ69" i="15"/>
  <c r="AF69" i="15"/>
  <c r="AF75" i="15"/>
  <c r="T37" i="15"/>
  <c r="T73" i="15"/>
  <c r="T63" i="15"/>
  <c r="T69" i="15"/>
  <c r="T75" i="15"/>
  <c r="T71" i="15"/>
  <c r="T65" i="15"/>
  <c r="T61" i="15"/>
  <c r="BD37" i="15"/>
  <c r="BD75" i="15"/>
  <c r="BD61" i="15"/>
  <c r="BD69" i="15"/>
  <c r="BD65" i="15"/>
  <c r="BD67" i="15"/>
  <c r="BD73" i="15"/>
  <c r="BD63" i="15"/>
  <c r="AF61" i="15"/>
  <c r="BU50" i="15"/>
  <c r="BW50" i="15" s="1"/>
  <c r="AF63" i="15"/>
  <c r="AF37" i="15"/>
  <c r="AF71" i="15"/>
  <c r="AF73" i="15"/>
  <c r="AF65" i="15"/>
  <c r="X67" i="15"/>
  <c r="AZ69" i="15"/>
  <c r="H71" i="15"/>
  <c r="AR63" i="15"/>
  <c r="P71" i="15"/>
  <c r="BH71" i="15"/>
  <c r="BH69" i="15"/>
  <c r="H67" i="15"/>
  <c r="AR37" i="15"/>
  <c r="P65" i="15"/>
  <c r="H65" i="15"/>
  <c r="H75" i="15"/>
  <c r="BH37" i="15"/>
  <c r="AR71" i="15"/>
  <c r="AR65" i="15"/>
  <c r="P75" i="15"/>
  <c r="H73" i="15"/>
  <c r="BH75" i="15"/>
  <c r="P63" i="15"/>
  <c r="P67" i="15"/>
  <c r="P61" i="15"/>
  <c r="N69" i="12" s="1"/>
  <c r="O69" i="12" s="1"/>
  <c r="Q69" i="12" s="1"/>
  <c r="L37" i="15"/>
  <c r="BH63" i="15"/>
  <c r="H69" i="15"/>
  <c r="BH67" i="15"/>
  <c r="BH65" i="15"/>
  <c r="AR67" i="15"/>
  <c r="AR73" i="15"/>
  <c r="P37" i="15"/>
  <c r="BU53" i="15"/>
  <c r="BV53" i="15" s="1"/>
  <c r="AZ73" i="15"/>
  <c r="AZ65" i="15"/>
  <c r="X71" i="15"/>
  <c r="BU51" i="15"/>
  <c r="BV51" i="15" s="1"/>
  <c r="AB73" i="15"/>
  <c r="AB65" i="15"/>
  <c r="L67" i="15"/>
  <c r="AB37" i="15"/>
  <c r="AN65" i="15"/>
  <c r="AB69" i="15"/>
  <c r="AB75" i="15"/>
  <c r="AN73" i="15"/>
  <c r="AN67" i="15"/>
  <c r="AN75" i="15"/>
  <c r="L71" i="15"/>
  <c r="BU49" i="15"/>
  <c r="BV49" i="15" s="1"/>
  <c r="BU60" i="15"/>
  <c r="BW60" i="15" s="1"/>
  <c r="AB71" i="15"/>
  <c r="AN71" i="15"/>
  <c r="AN37" i="15"/>
  <c r="AN63" i="15"/>
  <c r="L63" i="15"/>
  <c r="L65" i="15"/>
  <c r="L75" i="15"/>
  <c r="AB67" i="15"/>
  <c r="AB63" i="15"/>
  <c r="AN61" i="15"/>
  <c r="N75" i="12" s="1"/>
  <c r="O75" i="12" s="1"/>
  <c r="Q75" i="12" s="1"/>
  <c r="L73" i="15"/>
  <c r="L61" i="15"/>
  <c r="N68" i="12" s="1"/>
  <c r="O68" i="12" s="1"/>
  <c r="Q68" i="12" s="1"/>
  <c r="AZ37" i="15"/>
  <c r="AZ61" i="15"/>
  <c r="N78" i="12" s="1"/>
  <c r="O78" i="12" s="1"/>
  <c r="Q78" i="12" s="1"/>
  <c r="H61" i="15"/>
  <c r="N67" i="12" s="1"/>
  <c r="O67" i="12" s="1"/>
  <c r="Q67" i="12" s="1"/>
  <c r="AZ67" i="15"/>
  <c r="AZ75" i="15"/>
  <c r="AZ63" i="15"/>
  <c r="BH61" i="15"/>
  <c r="AR75" i="15"/>
  <c r="AR61" i="15"/>
  <c r="P73" i="15"/>
  <c r="BU56" i="15"/>
  <c r="BW56" i="15" s="1"/>
  <c r="BU48" i="15"/>
  <c r="BW48" i="15" s="1"/>
  <c r="BU54" i="15"/>
  <c r="BW54" i="15" s="1"/>
  <c r="BU72" i="15"/>
  <c r="BW72" i="15" s="1"/>
  <c r="BU62" i="15"/>
  <c r="BW62" i="15" s="1"/>
  <c r="AZ71" i="15"/>
  <c r="X65" i="15"/>
  <c r="X69" i="15"/>
  <c r="BU74" i="15"/>
  <c r="BW74" i="15" s="1"/>
  <c r="BU68" i="15"/>
  <c r="BW68" i="15" s="1"/>
  <c r="BU52" i="15"/>
  <c r="BW52" i="15" s="1"/>
  <c r="X75" i="15"/>
  <c r="X63" i="15"/>
  <c r="BU66" i="15"/>
  <c r="BW66" i="15" s="1"/>
  <c r="BU70" i="15"/>
  <c r="BW70" i="15" s="1"/>
  <c r="BU64" i="15"/>
  <c r="BW64" i="15" s="1"/>
  <c r="BU55" i="15"/>
  <c r="BV55" i="15" s="1"/>
  <c r="BU57" i="15"/>
  <c r="BV57" i="15" s="1"/>
  <c r="BU36" i="15"/>
  <c r="BW36" i="15" s="1"/>
  <c r="X61" i="15"/>
  <c r="X37" i="15"/>
  <c r="D46" i="13"/>
  <c r="N93" i="12" l="1"/>
  <c r="BU69" i="15"/>
  <c r="BV69" i="15" s="1"/>
  <c r="BU37" i="15"/>
  <c r="BV37" i="15" s="1"/>
  <c r="BU67" i="15"/>
  <c r="BV67" i="15" s="1"/>
  <c r="BU71" i="15"/>
  <c r="BV71" i="15" s="1"/>
  <c r="BU75" i="15"/>
  <c r="BV75" i="15" s="1"/>
  <c r="BU73" i="15"/>
  <c r="BV73" i="15" s="1"/>
  <c r="BU65" i="15"/>
  <c r="BV65" i="15" s="1"/>
  <c r="BU61" i="15"/>
  <c r="BV61" i="15" s="1"/>
  <c r="H321" i="1" s="1"/>
  <c r="H324" i="1" s="1"/>
  <c r="BU63" i="15"/>
  <c r="BV63" i="15" s="1"/>
  <c r="BW78" i="15"/>
  <c r="E35" i="13"/>
  <c r="G35" i="13" s="1"/>
  <c r="H35" i="13" s="1"/>
  <c r="D58" i="14" s="1"/>
  <c r="E25" i="13"/>
  <c r="G25" i="13" s="1"/>
  <c r="H25" i="13" s="1"/>
  <c r="D48" i="14" s="1"/>
  <c r="G48" i="14" s="1"/>
  <c r="E19" i="13"/>
  <c r="G19" i="13" s="1"/>
  <c r="H19" i="13" s="1"/>
  <c r="D42" i="14" s="1"/>
  <c r="G42" i="14" s="1"/>
  <c r="E30" i="13"/>
  <c r="G30" i="13" s="1"/>
  <c r="H30" i="13" s="1"/>
  <c r="D53" i="14" s="1"/>
  <c r="G53" i="14" s="1"/>
  <c r="J30" i="13" s="1"/>
  <c r="E21" i="13"/>
  <c r="G21" i="13" s="1"/>
  <c r="H21" i="13" s="1"/>
  <c r="E22" i="13"/>
  <c r="G22" i="13" s="1"/>
  <c r="H22" i="13" s="1"/>
  <c r="D45" i="14" s="1"/>
  <c r="G45" i="14" s="1"/>
  <c r="J22" i="13" s="1"/>
  <c r="E26" i="13"/>
  <c r="G26" i="13" s="1"/>
  <c r="H26" i="13" s="1"/>
  <c r="D49" i="14" s="1"/>
  <c r="G49" i="14" s="1"/>
  <c r="J26" i="13" s="1"/>
  <c r="E33" i="13"/>
  <c r="G33" i="13" s="1"/>
  <c r="H33" i="13" s="1"/>
  <c r="D56" i="14" s="1"/>
  <c r="G56" i="14" s="1"/>
  <c r="J33" i="13" s="1"/>
  <c r="E23" i="13"/>
  <c r="G23" i="13" s="1"/>
  <c r="H23" i="13" s="1"/>
  <c r="D46" i="14" s="1"/>
  <c r="G46" i="14" s="1"/>
  <c r="J23" i="13" s="1"/>
  <c r="E24" i="13"/>
  <c r="G24" i="13" s="1"/>
  <c r="H24" i="13" s="1"/>
  <c r="D47" i="14" s="1"/>
  <c r="G47" i="14" s="1"/>
  <c r="E27" i="13"/>
  <c r="G27" i="13" s="1"/>
  <c r="H27" i="13" s="1"/>
  <c r="D50" i="14" s="1"/>
  <c r="G50" i="14" s="1"/>
  <c r="E28" i="13"/>
  <c r="G28" i="13" s="1"/>
  <c r="H28" i="13" s="1"/>
  <c r="D51" i="14" s="1"/>
  <c r="G51" i="14" s="1"/>
  <c r="J28" i="13" s="1"/>
  <c r="E29" i="13"/>
  <c r="G29" i="13" s="1"/>
  <c r="H29" i="13" s="1"/>
  <c r="D52" i="14" s="1"/>
  <c r="G52" i="14" s="1"/>
  <c r="J29" i="13" s="1"/>
  <c r="E34" i="13"/>
  <c r="G34" i="13" s="1"/>
  <c r="H34" i="13" s="1"/>
  <c r="E18" i="13"/>
  <c r="E31" i="13"/>
  <c r="G31" i="13" s="1"/>
  <c r="H31" i="13" s="1"/>
  <c r="E20" i="13"/>
  <c r="G20" i="13" s="1"/>
  <c r="H20" i="13" s="1"/>
  <c r="D43" i="14" s="1"/>
  <c r="G43" i="14" s="1"/>
  <c r="J20" i="13" s="1"/>
  <c r="E32" i="13"/>
  <c r="G32" i="13" s="1"/>
  <c r="H32" i="13" s="1"/>
  <c r="D55" i="14" s="1"/>
  <c r="G55" i="14" s="1"/>
  <c r="J32" i="13" s="1"/>
  <c r="O93" i="12"/>
  <c r="BV78" i="15" l="1"/>
  <c r="J27" i="13"/>
  <c r="K27" i="13" s="1"/>
  <c r="J19" i="13"/>
  <c r="K19" i="13" s="1"/>
  <c r="K22" i="13"/>
  <c r="J24" i="13"/>
  <c r="K24" i="13" s="1"/>
  <c r="K23" i="13"/>
  <c r="J25" i="13"/>
  <c r="K25" i="13" s="1"/>
  <c r="K26" i="13"/>
  <c r="K28" i="13"/>
  <c r="G18" i="13"/>
  <c r="E46" i="13"/>
  <c r="K30" i="13"/>
  <c r="D57" i="14"/>
  <c r="G57" i="14" s="1"/>
  <c r="K20" i="13"/>
  <c r="D54" i="14"/>
  <c r="G54" i="14" s="1"/>
  <c r="D44" i="14"/>
  <c r="G44" i="14" s="1"/>
  <c r="J21" i="13" s="1"/>
  <c r="K21" i="13" s="1"/>
  <c r="G58" i="14"/>
  <c r="H328" i="1"/>
  <c r="H330" i="1" s="1"/>
  <c r="K29" i="13" l="1"/>
  <c r="J31" i="13"/>
  <c r="K31" i="13" s="1"/>
  <c r="K32" i="13"/>
  <c r="J34" i="13"/>
  <c r="K34" i="13" s="1"/>
  <c r="K33" i="13"/>
  <c r="J35" i="13"/>
  <c r="K35" i="13" s="1"/>
  <c r="H18" i="13"/>
  <c r="G46" i="13"/>
  <c r="D41" i="14" l="1"/>
  <c r="H46" i="13"/>
  <c r="G41" i="14" l="1"/>
  <c r="D70" i="14"/>
  <c r="J18" i="13" l="1"/>
  <c r="G70" i="14"/>
  <c r="J46" i="13" l="1"/>
  <c r="J49" i="13" s="1"/>
  <c r="K18" i="13"/>
  <c r="K46" i="13" l="1"/>
  <c r="P93" i="12" l="1"/>
  <c r="Q93" i="12"/>
</calcChain>
</file>

<file path=xl/sharedStrings.xml><?xml version="1.0" encoding="utf-8"?>
<sst xmlns="http://schemas.openxmlformats.org/spreadsheetml/2006/main" count="5455" uniqueCount="2017">
  <si>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</si>
  <si>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</si>
  <si>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</si>
  <si>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</si>
  <si>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</si>
  <si>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</si>
  <si>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</si>
  <si>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</si>
  <si>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</si>
  <si>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</si>
  <si>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</si>
  <si>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</si>
  <si>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</si>
  <si>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</si>
  <si>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</si>
  <si>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</si>
  <si>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</si>
  <si>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</si>
  <si>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</si>
  <si>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</si>
  <si>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</si>
  <si>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</si>
  <si>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</si>
  <si>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</si>
  <si>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</si>
  <si>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</si>
  <si>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</si>
  <si>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</si>
  <si>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</si>
  <si>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</si>
  <si>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</si>
  <si>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</si>
  <si>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</si>
  <si>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</si>
  <si>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</si>
  <si>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</si>
  <si>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</si>
  <si>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</si>
  <si>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</si>
  <si>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</si>
  <si>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</si>
  <si>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</si>
  <si>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</si>
  <si>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</si>
  <si>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</si>
  <si>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</si>
  <si>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</si>
  <si>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</si>
  <si>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</si>
  <si>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</si>
  <si>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</si>
  <si>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</si>
  <si>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</si>
  <si>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</si>
  <si>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</si>
  <si>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</si>
  <si>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</si>
  <si>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</si>
  <si>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</si>
  <si>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</si>
  <si>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</si>
  <si>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</si>
  <si>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</si>
  <si>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</si>
  <si>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</si>
  <si>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</si>
  <si>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</si>
  <si>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</si>
  <si>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</si>
  <si>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</si>
  <si>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</si>
  <si>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</si>
  <si>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</si>
  <si>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</si>
  <si>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</si>
  <si>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</si>
  <si>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</si>
  <si>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</si>
  <si>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</si>
  <si>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</si>
  <si>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</si>
  <si>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</si>
  <si>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</si>
  <si>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</si>
  <si>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</si>
  <si>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</si>
  <si>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</si>
  <si>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</si>
  <si>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</si>
  <si>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</si>
  <si>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</si>
  <si>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</si>
  <si>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</si>
  <si>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</si>
  <si>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</si>
  <si>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</si>
  <si>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</si>
  <si>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</si>
  <si>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</si>
  <si>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</si>
  <si>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</si>
  <si>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</si>
  <si>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</si>
  <si>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</si>
  <si>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</si>
  <si>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</si>
  <si>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</si>
  <si>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</si>
  <si>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</si>
  <si>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</si>
  <si>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</si>
  <si>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</si>
  <si>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</si>
  <si>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</si>
  <si>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</si>
  <si>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</si>
  <si>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</si>
  <si>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</si>
  <si>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</si>
  <si>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</si>
  <si>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</si>
  <si>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</si>
  <si>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</si>
  <si>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</si>
  <si>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</si>
  <si>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</si>
  <si>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</si>
  <si>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</si>
  <si>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</si>
  <si>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</si>
  <si>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</si>
  <si>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</si>
  <si>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</si>
  <si>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</si>
  <si>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</si>
  <si>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</si>
  <si>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</si>
  <si>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</si>
  <si>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</si>
  <si>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</si>
  <si>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</si>
  <si>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</si>
  <si>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</si>
  <si>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</si>
  <si>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</si>
  <si>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</si>
  <si>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</si>
  <si>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</si>
  <si>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</si>
  <si>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</si>
  <si>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</si>
  <si>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</si>
  <si>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</si>
  <si>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</si>
  <si>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</si>
  <si>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</si>
  <si>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</si>
  <si>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</si>
  <si>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</si>
  <si>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</si>
  <si>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</si>
  <si>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</si>
  <si>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</si>
  <si>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</si>
  <si>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</si>
  <si>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</si>
  <si>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</si>
  <si>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</si>
  <si>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</si>
  <si>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</si>
  <si>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</si>
  <si>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</si>
  <si>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</si>
  <si>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</si>
  <si>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</si>
  <si>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</si>
  <si>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</si>
  <si>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</si>
  <si>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</si>
  <si>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</si>
  <si>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</si>
  <si>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</si>
  <si>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</si>
  <si>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</si>
  <si>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</si>
  <si>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</si>
  <si>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</si>
  <si>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</si>
  <si>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</si>
  <si>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</si>
  <si>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</si>
  <si>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</si>
  <si>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</si>
  <si>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</si>
  <si>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</si>
  <si>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</si>
  <si>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</si>
  <si>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</si>
  <si>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</si>
  <si>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</si>
  <si>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</si>
  <si>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</si>
  <si>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</si>
  <si>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</si>
  <si>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</si>
  <si>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</si>
  <si>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</si>
  <si>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</si>
  <si>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</si>
  <si>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</si>
  <si>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</si>
  <si>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</si>
  <si>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</si>
  <si>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</si>
  <si>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</si>
  <si>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</si>
  <si>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</si>
  <si>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</si>
  <si>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</si>
  <si>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</si>
  <si>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</si>
  <si>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</si>
  <si>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</si>
  <si>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</si>
  <si>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</si>
  <si>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</si>
  <si>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</si>
  <si>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</si>
  <si>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</si>
  <si>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</si>
  <si>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</si>
  <si>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</si>
  <si>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</si>
  <si>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</si>
  <si>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</si>
  <si>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</si>
  <si>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</si>
  <si>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</si>
  <si>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</si>
  <si>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</si>
  <si>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</si>
  <si>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</si>
  <si>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</si>
  <si>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</si>
  <si>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</si>
  <si>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</si>
  <si>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</si>
  <si>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</si>
  <si>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</si>
  <si>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</si>
  <si>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</si>
  <si>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</si>
  <si>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</si>
  <si>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</si>
  <si>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</si>
  <si>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</si>
  <si>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</si>
  <si>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</si>
  <si>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</si>
  <si>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</si>
  <si>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</si>
  <si>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</si>
  <si>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</si>
  <si>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</si>
  <si>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</si>
  <si>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</si>
  <si>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</si>
  <si>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</si>
  <si>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</si>
  <si>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</si>
  <si>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</si>
  <si>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</si>
  <si>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</si>
  <si>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</si>
  <si>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</si>
  <si>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</si>
  <si>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</si>
  <si>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</si>
  <si>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</si>
  <si>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</si>
  <si>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</si>
  <si>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</si>
  <si>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</si>
  <si>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</si>
  <si>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</si>
  <si>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</si>
  <si>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</si>
  <si>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</si>
  <si>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</si>
  <si>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</si>
  <si>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</si>
  <si>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</si>
  <si>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</si>
  <si>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</si>
  <si>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</si>
  <si>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</si>
  <si>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</si>
  <si>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</si>
  <si>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</si>
  <si>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</si>
  <si>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</si>
  <si>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</si>
  <si>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</si>
  <si>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</si>
  <si>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</si>
  <si>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</si>
  <si>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</si>
  <si>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</si>
  <si>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</si>
  <si>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</si>
  <si>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</si>
  <si>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</si>
  <si>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</si>
  <si>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</si>
  <si>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</si>
  <si>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</si>
  <si>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</si>
  <si>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</si>
  <si>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</si>
  <si>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</si>
  <si>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</si>
  <si>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</si>
  <si>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</si>
  <si>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</si>
  <si>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</si>
  <si>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</si>
  <si>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</si>
  <si>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</si>
  <si>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</si>
  <si>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</si>
  <si>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</si>
  <si>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</si>
  <si>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</si>
  <si>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</si>
  <si>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</si>
  <si>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</si>
  <si>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</si>
  <si>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</si>
  <si>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</si>
  <si>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</si>
  <si>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</si>
  <si>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</si>
  <si>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</si>
  <si>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</si>
  <si>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</si>
  <si>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</si>
  <si>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</si>
  <si>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</si>
  <si>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</si>
  <si>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</si>
  <si>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</si>
  <si>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</si>
  <si>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</si>
  <si>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</si>
  <si>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</si>
  <si>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</si>
  <si>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</si>
  <si>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</si>
  <si>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</si>
  <si>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</si>
  <si>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</si>
  <si>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</si>
  <si>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</si>
  <si>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</si>
  <si>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</si>
  <si>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</si>
  <si>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</si>
  <si>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</si>
  <si>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</si>
  <si>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</si>
  <si>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</si>
  <si>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</si>
  <si>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</si>
  <si>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</si>
  <si>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</si>
  <si>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</si>
  <si>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</si>
  <si>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</si>
  <si>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</si>
  <si>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</si>
  <si>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</si>
  <si>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</si>
  <si>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</si>
  <si>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</si>
  <si>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</si>
  <si>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</si>
  <si>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</si>
  <si>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</si>
  <si>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</si>
  <si>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</si>
  <si>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</si>
  <si>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</si>
  <si>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</si>
  <si>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</si>
  <si>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</si>
  <si>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</si>
  <si>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</si>
  <si>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</si>
  <si>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</si>
  <si>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</si>
  <si>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</si>
  <si>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</si>
  <si>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</si>
  <si>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</si>
  <si>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</si>
  <si>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</si>
  <si>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</si>
  <si>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</si>
  <si>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</si>
  <si>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</si>
  <si>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</si>
  <si>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</si>
  <si>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</si>
  <si>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</si>
  <si>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</si>
  <si>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</si>
  <si>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</si>
  <si>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</si>
  <si>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</si>
  <si>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</si>
  <si>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</si>
  <si>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</si>
  <si>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</si>
  <si>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</si>
  <si>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</si>
  <si>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</si>
  <si>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</si>
  <si>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</si>
  <si>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</si>
  <si>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</si>
  <si>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</si>
  <si>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</si>
  <si>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</si>
  <si>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</si>
  <si>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</si>
  <si>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</si>
  <si>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</si>
  <si>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</si>
  <si>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</si>
  <si>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</si>
  <si>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</si>
  <si>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</si>
  <si>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</si>
  <si>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</si>
  <si>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</si>
  <si>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</si>
  <si>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</si>
  <si>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</si>
  <si>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</si>
  <si>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</si>
  <si>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</si>
  <si>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</si>
  <si>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</si>
  <si>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</si>
  <si>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</si>
  <si>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</si>
  <si>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</si>
  <si>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</si>
  <si>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</si>
  <si>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</si>
  <si>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</si>
  <si>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</si>
  <si>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</si>
  <si>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</si>
  <si>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</si>
  <si>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</si>
  <si>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</si>
  <si>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</si>
  <si>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</si>
  <si>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</si>
  <si>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</si>
  <si>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</si>
  <si>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</si>
  <si>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</si>
  <si>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</si>
  <si>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</si>
  <si>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</si>
  <si>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</si>
  <si>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</si>
  <si>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</si>
  <si>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</si>
  <si>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</si>
  <si>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</si>
  <si>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</si>
  <si>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</si>
  <si>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</si>
  <si>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</si>
  <si>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</si>
  <si>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</si>
  <si>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</si>
  <si>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</si>
  <si>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</si>
  <si>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</si>
  <si>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</si>
  <si>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</si>
  <si>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</si>
  <si>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</si>
  <si>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</si>
  <si>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</si>
  <si>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</si>
  <si>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</si>
  <si>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</si>
  <si>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</si>
  <si>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</si>
  <si>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</si>
  <si>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</si>
  <si>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</si>
  <si>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</si>
  <si>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</si>
  <si>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</si>
  <si>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</si>
  <si>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</si>
  <si>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</si>
  <si>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</si>
  <si>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</si>
  <si>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</si>
  <si>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</si>
  <si>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</si>
  <si>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</si>
  <si>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</si>
  <si>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</si>
  <si>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</si>
  <si>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</si>
  <si>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</si>
  <si>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</si>
  <si>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</si>
  <si>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</si>
  <si>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</si>
  <si>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</si>
  <si>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</si>
  <si>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</si>
  <si>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</si>
  <si>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</si>
  <si>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</si>
  <si>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</si>
  <si>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</si>
  <si>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</si>
  <si>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</si>
  <si>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</si>
  <si>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</si>
  <si>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</si>
  <si>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</si>
  <si>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</si>
  <si>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</si>
  <si>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</si>
  <si>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</si>
  <si>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</si>
  <si>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</si>
  <si>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</si>
  <si>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</si>
  <si>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</si>
  <si>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</si>
  <si>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</si>
  <si>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</si>
  <si>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</si>
  <si>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</si>
  <si>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</si>
  <si>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</si>
  <si>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</si>
  <si>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</si>
  <si>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</si>
  <si>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</si>
  <si>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</si>
  <si>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</si>
  <si>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</si>
  <si>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</si>
  <si>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</si>
  <si>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</si>
  <si>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</si>
  <si>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</si>
  <si>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</si>
  <si>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</si>
  <si>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</si>
  <si>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</si>
  <si>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</si>
  <si>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</si>
  <si>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</si>
  <si>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</si>
  <si>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</si>
  <si>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</si>
  <si>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</si>
  <si>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</si>
  <si>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</si>
  <si>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</si>
  <si>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</si>
  <si>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</si>
  <si>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</si>
  <si>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</si>
  <si>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</si>
  <si>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</si>
  <si>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</si>
  <si>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</si>
  <si>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</si>
  <si>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</si>
  <si>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</si>
  <si>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</si>
  <si>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</si>
  <si>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</si>
  <si>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</si>
  <si>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</si>
  <si>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</si>
  <si>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</si>
  <si>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</si>
  <si>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</si>
  <si>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</si>
  <si>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</si>
  <si>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</si>
  <si>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</si>
  <si>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</si>
  <si>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</si>
  <si>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</si>
  <si>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</si>
  <si>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</si>
  <si>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</si>
  <si>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</si>
  <si>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</si>
  <si>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</si>
  <si>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</si>
  <si>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</si>
  <si>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</si>
  <si>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</si>
  <si>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</si>
  <si>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</si>
  <si>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</si>
  <si>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</si>
  <si>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</si>
  <si>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</si>
  <si>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</si>
  <si>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</si>
  <si>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</si>
  <si>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</si>
  <si>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</si>
  <si>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</si>
  <si>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</si>
  <si>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</si>
  <si>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</si>
  <si>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</si>
  <si>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</si>
  <si>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</si>
  <si>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</si>
  <si>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</si>
  <si>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</si>
  <si>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</si>
  <si>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</si>
  <si>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</si>
  <si>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</si>
  <si>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</si>
  <si>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</si>
  <si>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</si>
  <si>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</si>
  <si>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</si>
  <si>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</si>
  <si>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</si>
  <si>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</si>
  <si>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</si>
  <si>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</si>
  <si>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</si>
  <si>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</si>
  <si>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</si>
  <si>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</si>
  <si>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</si>
  <si>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</si>
  <si>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</si>
  <si>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</si>
  <si>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</si>
  <si>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</si>
  <si>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</si>
  <si>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</si>
  <si>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</si>
  <si>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</si>
  <si>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</si>
  <si>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</si>
  <si>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</si>
  <si>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</si>
  <si>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</si>
  <si>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</si>
  <si>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</si>
  <si>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</si>
  <si>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</si>
  <si>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</si>
  <si>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</si>
  <si>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</si>
  <si>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</si>
  <si>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</si>
  <si>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</si>
  <si>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</si>
  <si>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</si>
  <si>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</si>
  <si>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</si>
  <si>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</si>
  <si>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</si>
  <si>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</si>
  <si>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</si>
  <si>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</si>
  <si>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</si>
  <si>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</si>
  <si>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</si>
  <si>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</si>
  <si>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</si>
  <si>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</si>
  <si>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</si>
  <si>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</si>
  <si>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</si>
  <si>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</si>
  <si>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</si>
  <si>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</si>
  <si>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</si>
  <si>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</si>
  <si>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</si>
  <si>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</si>
  <si>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</si>
  <si>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</si>
  <si>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</si>
  <si>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</si>
  <si>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</si>
  <si>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</si>
  <si>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</si>
  <si>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</si>
  <si>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</si>
  <si>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</si>
  <si>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</si>
  <si>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</si>
  <si>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</si>
  <si>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</si>
  <si>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</si>
  <si>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</si>
  <si>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</si>
  <si>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</si>
  <si>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</si>
  <si>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</si>
  <si>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</si>
  <si>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</si>
  <si>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</si>
  <si>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</si>
  <si>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</si>
  <si>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</si>
  <si>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</si>
  <si>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</si>
  <si>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</si>
  <si>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</si>
  <si>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</si>
  <si>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</si>
  <si>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</si>
  <si>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</si>
  <si>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</si>
  <si>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</si>
  <si>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</si>
  <si>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</si>
  <si>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</si>
  <si>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</si>
  <si>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</si>
  <si>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</si>
  <si>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</si>
  <si>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</si>
  <si>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</si>
  <si>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</si>
  <si>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</si>
  <si>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</si>
  <si>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</si>
  <si>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</si>
  <si>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</si>
  <si>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</si>
  <si>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</si>
  <si>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</si>
  <si>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</si>
  <si>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</si>
  <si>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</si>
  <si>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</si>
  <si>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</si>
  <si>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</si>
  <si>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</si>
  <si>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</si>
  <si>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</si>
  <si>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</si>
  <si>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</si>
  <si>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</si>
  <si>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</si>
  <si>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</si>
  <si>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</si>
  <si>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</si>
  <si>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</si>
  <si>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</si>
  <si>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</si>
  <si>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</si>
  <si>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</si>
  <si>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</si>
  <si>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</si>
  <si>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</si>
  <si>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</si>
  <si>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</si>
  <si>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</si>
  <si>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</si>
  <si>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</si>
  <si>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</si>
  <si>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</si>
  <si>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</si>
  <si>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</si>
  <si>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</si>
  <si>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</si>
  <si>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</si>
  <si>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</si>
  <si>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</si>
  <si>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</si>
  <si>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</si>
  <si>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</si>
  <si>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</si>
  <si>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</si>
  <si>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</si>
  <si>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</si>
  <si>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</si>
  <si>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</si>
  <si>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</si>
  <si>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</si>
  <si>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</si>
  <si>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</si>
  <si>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</si>
  <si>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</si>
  <si>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</si>
  <si>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</si>
  <si>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</si>
  <si>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</si>
  <si>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</si>
  <si>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</si>
  <si>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</si>
  <si>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</si>
  <si>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</si>
  <si>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</si>
  <si>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</si>
  <si>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</si>
  <si>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</si>
  <si>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</si>
  <si>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</si>
  <si>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</si>
  <si>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</si>
  <si>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</si>
  <si>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</si>
  <si>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</si>
  <si>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</si>
  <si>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</si>
  <si>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</si>
  <si>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</si>
  <si>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</si>
  <si>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</si>
  <si>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</si>
  <si>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</si>
  <si>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</si>
  <si>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</si>
  <si>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</si>
  <si>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</si>
  <si>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</si>
  <si>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</si>
  <si>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</si>
  <si>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</si>
  <si>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</si>
  <si>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</si>
  <si>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</si>
  <si>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</si>
  <si>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</si>
  <si>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</si>
  <si>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</si>
  <si>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</si>
  <si>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</si>
  <si>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</si>
  <si>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</si>
  <si>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</si>
  <si>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</si>
  <si>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</si>
  <si>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</si>
  <si>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</si>
  <si>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</si>
  <si>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</si>
  <si>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</si>
  <si>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</si>
  <si>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</si>
  <si>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</si>
  <si>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</si>
  <si>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</si>
  <si>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</si>
  <si>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</si>
  <si>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</si>
  <si>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</si>
  <si>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</si>
  <si>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</si>
  <si>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</si>
  <si>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</si>
  <si>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</si>
  <si>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</si>
  <si>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</si>
  <si>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</si>
  <si>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</si>
  <si>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</si>
  <si>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</si>
  <si>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</si>
  <si>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</si>
  <si>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</si>
  <si>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</si>
  <si>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</si>
  <si>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</si>
  <si>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</si>
  <si>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</si>
  <si>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</si>
  <si>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</si>
  <si>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</si>
  <si>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</si>
  <si>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</si>
  <si>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</si>
  <si>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</si>
  <si>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</si>
  <si>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</si>
  <si>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</si>
  <si>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</si>
  <si>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</si>
  <si>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</si>
  <si>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</si>
  <si>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</si>
  <si>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</si>
  <si>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</si>
  <si>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</si>
  <si>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</si>
  <si>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</si>
  <si>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</si>
  <si>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</si>
  <si>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</si>
  <si>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</si>
  <si>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</si>
  <si>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</si>
  <si>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</si>
  <si>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</si>
  <si>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</si>
  <si>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</si>
  <si>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</si>
  <si>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</si>
  <si>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</si>
  <si>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</si>
  <si>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</si>
  <si>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</si>
  <si>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</si>
  <si>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</si>
  <si>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</si>
  <si>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</si>
  <si>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</si>
  <si>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</si>
  <si>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</si>
  <si>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</si>
  <si>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</si>
  <si>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</si>
  <si>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</si>
  <si>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</si>
  <si>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</si>
  <si>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</si>
  <si>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</si>
  <si>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</si>
  <si>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</si>
  <si>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</si>
  <si>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</si>
  <si>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</si>
  <si>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</si>
  <si>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</si>
  <si>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</si>
  <si>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</si>
  <si>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</si>
  <si>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</si>
  <si>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</si>
  <si>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</si>
  <si>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</si>
  <si>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</si>
  <si>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</si>
  <si>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</si>
  <si>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</si>
  <si>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</si>
  <si>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</si>
  <si>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</si>
  <si>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</si>
  <si>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</si>
  <si>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</si>
  <si>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</si>
  <si>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</si>
  <si>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</si>
  <si>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</si>
  <si>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</si>
  <si>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</si>
  <si>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</si>
  <si>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</si>
  <si>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</si>
  <si>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</si>
  <si>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</si>
  <si>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</si>
  <si>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</si>
  <si>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</si>
  <si>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</si>
  <si>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</si>
  <si>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</si>
  <si>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</si>
  <si>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</si>
  <si>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</si>
  <si>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</si>
  <si>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</si>
  <si>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</si>
  <si>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</si>
  <si>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</si>
  <si>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</si>
  <si>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</si>
  <si>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</si>
  <si>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</si>
  <si>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</si>
  <si>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</si>
  <si>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</si>
  <si>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</si>
  <si>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</si>
  <si>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</si>
  <si>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</si>
  <si>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</si>
  <si>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</si>
  <si>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</si>
  <si>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</si>
  <si>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</si>
  <si>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</si>
  <si>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</si>
  <si>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</si>
  <si>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</si>
  <si>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</si>
  <si>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</si>
  <si>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</si>
  <si>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</si>
  <si>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</si>
  <si>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</si>
  <si>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</si>
  <si>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</si>
  <si>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</si>
  <si>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</si>
  <si>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</si>
  <si>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</si>
  <si>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</si>
  <si>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</si>
  <si>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</si>
  <si>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</si>
  <si>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</si>
  <si>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</si>
  <si>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</si>
  <si>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</si>
  <si>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</si>
  <si>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</si>
  <si>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</si>
  <si>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</si>
  <si>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</si>
  <si>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</si>
  <si>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</si>
  <si>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</si>
  <si>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</si>
  <si>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</si>
  <si>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</si>
  <si>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</si>
  <si>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</si>
  <si>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</si>
  <si>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</si>
  <si>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</si>
  <si>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</si>
  <si>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</si>
  <si>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</si>
  <si>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</si>
  <si>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</si>
  <si>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</si>
  <si>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</si>
  <si>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</si>
  <si>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</si>
  <si>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</si>
  <si>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</si>
  <si>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</si>
  <si>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</si>
  <si>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</si>
  <si>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</si>
  <si>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</si>
  <si>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</si>
  <si>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</si>
  <si>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</si>
  <si>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</si>
  <si>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</si>
  <si>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</si>
  <si>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</si>
  <si>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</si>
  <si>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</si>
  <si>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</si>
  <si>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</si>
  <si>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</si>
  <si>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</si>
  <si>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</si>
  <si>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</si>
  <si>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</si>
  <si>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</si>
  <si>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</si>
  <si>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</si>
  <si>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</si>
  <si>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</si>
  <si>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</si>
  <si>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</si>
  <si>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</si>
  <si>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</si>
  <si>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</si>
  <si>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</si>
  <si>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</si>
  <si>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</si>
  <si>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</si>
  <si>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</si>
  <si>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</si>
  <si>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</si>
  <si>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</si>
  <si>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</si>
  <si>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</si>
  <si>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</si>
  <si>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</si>
  <si>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</si>
  <si>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</si>
  <si>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</si>
  <si>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</si>
  <si>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</si>
  <si>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</si>
  <si>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</si>
  <si>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</si>
  <si>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</si>
  <si>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</si>
  <si>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</si>
  <si>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</si>
  <si>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</si>
  <si>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</si>
  <si>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</si>
  <si>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</si>
  <si>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</si>
  <si>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</si>
  <si>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</si>
  <si>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</si>
  <si>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</si>
  <si>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</si>
  <si>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</si>
  <si>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</si>
  <si>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</si>
  <si>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</si>
  <si>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</si>
  <si>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</si>
  <si>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</si>
  <si>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</si>
  <si>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</si>
  <si>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</si>
  <si>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</si>
  <si>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</si>
  <si>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</si>
  <si>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</si>
  <si>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</si>
  <si>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</si>
  <si>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</si>
  <si>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</si>
  <si>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</si>
  <si>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</si>
  <si>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</si>
  <si>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</si>
  <si>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</si>
  <si>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</si>
  <si>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</si>
  <si>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</si>
  <si>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</si>
  <si>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</si>
  <si>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 xml:space="preserve"> Non-Leases</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</si>
  <si>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</si>
  <si>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</si>
  <si>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</si>
  <si>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</si>
  <si>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</si>
  <si>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</si>
  <si>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</si>
  <si>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</si>
  <si>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Glebe Road Expenses</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</si>
  <si>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</si>
  <si>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</si>
  <si>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</si>
  <si>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</si>
  <si>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</si>
  <si>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</si>
  <si>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</si>
  <si>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</si>
  <si>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</si>
  <si>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</si>
  <si>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</si>
  <si>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</si>
  <si>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</si>
  <si>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</si>
  <si>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</si>
  <si>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</si>
  <si>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</si>
  <si>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</si>
  <si>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</si>
  <si>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</si>
  <si>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</si>
  <si>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</si>
  <si>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</si>
  <si>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</si>
  <si>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</si>
  <si>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</si>
  <si>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</si>
  <si>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</si>
  <si>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</si>
  <si>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</si>
  <si>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</si>
  <si>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</si>
  <si>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</si>
  <si>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</si>
  <si>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</si>
  <si>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</si>
  <si>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</si>
  <si>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</si>
  <si>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</si>
  <si>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</si>
  <si>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</si>
  <si>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</si>
  <si>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</si>
  <si>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</si>
  <si>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</si>
  <si>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</si>
  <si>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Practice Area</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</si>
  <si>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</si>
  <si>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</si>
  <si>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</si>
  <si>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</si>
  <si>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</si>
  <si>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</si>
  <si>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</si>
  <si>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</si>
  <si>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</si>
  <si>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</si>
  <si>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</si>
  <si>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</si>
  <si>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</si>
  <si>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</si>
  <si>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</si>
  <si>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</si>
  <si>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</si>
  <si>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</si>
  <si>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</si>
  <si>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</si>
  <si>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</si>
  <si>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</si>
  <si>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</si>
  <si>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</si>
  <si>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</si>
  <si>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</si>
  <si>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</si>
  <si>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</si>
  <si>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</si>
  <si>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</si>
  <si>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</si>
  <si>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</si>
  <si>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</si>
  <si>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</si>
  <si>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</si>
  <si>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</si>
  <si>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</si>
  <si>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</si>
  <si>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</si>
  <si>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</si>
  <si>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</si>
  <si>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</si>
  <si>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</si>
  <si>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</si>
  <si>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</si>
  <si>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</si>
  <si>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</si>
  <si>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</si>
  <si>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</si>
  <si>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</si>
  <si>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</si>
  <si>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</si>
  <si>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</si>
  <si>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</si>
  <si>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</si>
  <si>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</si>
  <si>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</si>
  <si>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</si>
  <si>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</si>
  <si>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</si>
  <si>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</si>
  <si>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</si>
  <si>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</si>
  <si>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</si>
  <si>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</si>
  <si>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</si>
  <si>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</si>
  <si>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</si>
  <si>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</si>
  <si>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</si>
  <si>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</si>
  <si>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</si>
  <si>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</si>
  <si>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</si>
  <si>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</si>
  <si>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</si>
  <si>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</si>
  <si>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</si>
  <si>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</si>
  <si>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</si>
  <si>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</si>
  <si>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</si>
  <si>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</si>
  <si>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</si>
  <si>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</si>
  <si>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350.2 - ALLOCABLE</t>
  </si>
  <si>
    <t>Land and Land Rights</t>
  </si>
  <si>
    <t>352 - ALLOCABLE</t>
  </si>
  <si>
    <t>Structures and Improvements</t>
  </si>
  <si>
    <t>352.1 - DC</t>
  </si>
  <si>
    <t>352.2 - MD</t>
  </si>
  <si>
    <t>352.3 - SMECO</t>
  </si>
  <si>
    <t>353 - ALLOCABLE</t>
  </si>
  <si>
    <t>Station Equipment</t>
  </si>
  <si>
    <t>353.1 - DC</t>
  </si>
  <si>
    <t>353.2 - MD</t>
  </si>
  <si>
    <t>353.3 - SMECO</t>
  </si>
  <si>
    <t>354 - ALLOCABLE</t>
  </si>
  <si>
    <t>Towers and Fixtures</t>
  </si>
  <si>
    <t>354.1 - DC</t>
  </si>
  <si>
    <t>354.2 - MD</t>
  </si>
  <si>
    <t>354.3 - SMECO</t>
  </si>
  <si>
    <t>355 - ALLOCABLE</t>
  </si>
  <si>
    <t>Poles and Fixtures</t>
  </si>
  <si>
    <t>355.1 - DC</t>
  </si>
  <si>
    <t>355.2 - MD</t>
  </si>
  <si>
    <t>355.3 - SMECO</t>
  </si>
  <si>
    <t>356 - ALLOCABLE</t>
  </si>
  <si>
    <t>Overhead Conductors and Devices</t>
  </si>
  <si>
    <t>356.1 - DC</t>
  </si>
  <si>
    <t>356.2 - MD</t>
  </si>
  <si>
    <t>356.3 - SMECO</t>
  </si>
  <si>
    <t>357 - ALLOCABLE</t>
  </si>
  <si>
    <t>Underground Conduit</t>
  </si>
  <si>
    <t>357.1 - DC</t>
  </si>
  <si>
    <t>357.2 - MD</t>
  </si>
  <si>
    <t>357.3 - SMECO</t>
  </si>
  <si>
    <t>358 - ALLOCABLE</t>
  </si>
  <si>
    <t>Underground Conductors and Devices</t>
  </si>
  <si>
    <t>358.1 - DC</t>
  </si>
  <si>
    <t>358.2 - MD</t>
  </si>
  <si>
    <t>358.3 - SMECO</t>
  </si>
  <si>
    <t>359 - ALLOCABLE</t>
  </si>
  <si>
    <t>Roads and Trails</t>
  </si>
  <si>
    <t>359.1 - DC</t>
  </si>
  <si>
    <t>359.2 - MD</t>
  </si>
  <si>
    <t>359.3 - SMECO</t>
  </si>
  <si>
    <t>Electric General</t>
  </si>
  <si>
    <t>390 - ALLOCABLE</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</si>
  <si>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</si>
  <si>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</si>
  <si>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</si>
  <si>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</si>
  <si>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</si>
  <si>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</si>
  <si>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</si>
  <si>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</si>
  <si>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</si>
  <si>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</si>
  <si>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</si>
  <si>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</si>
  <si>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</si>
  <si>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</si>
  <si>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</si>
  <si>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</si>
  <si>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</si>
  <si>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</si>
  <si>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</si>
  <si>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</si>
  <si>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</si>
  <si>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</si>
  <si>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</si>
  <si>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</si>
  <si>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</si>
  <si>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</si>
  <si>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</si>
  <si>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</si>
  <si>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</si>
  <si>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</si>
  <si>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</si>
  <si>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</si>
  <si>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</si>
  <si>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</si>
  <si>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</si>
  <si>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</si>
  <si>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</si>
  <si>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</si>
  <si>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</si>
  <si>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</si>
  <si>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</si>
  <si>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</si>
  <si>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</si>
  <si>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</si>
  <si>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</si>
  <si>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</si>
  <si>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</si>
  <si>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</si>
  <si>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</si>
  <si>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</si>
  <si>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</si>
  <si>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</si>
  <si>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</si>
  <si>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</si>
  <si>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</si>
  <si>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</si>
  <si>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</si>
  <si>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</si>
  <si>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</si>
  <si>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</si>
  <si>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</si>
  <si>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</si>
  <si>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</si>
  <si>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</si>
  <si>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</si>
  <si>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</si>
  <si>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Brandywind AshFill</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</si>
  <si>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</si>
  <si>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</si>
  <si>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</si>
  <si>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</si>
  <si>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</si>
  <si>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</si>
  <si>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 xml:space="preserve"> General capital lease $11,684,049</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</si>
  <si>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</si>
  <si>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</si>
  <si>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</si>
  <si>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</si>
  <si>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</si>
  <si>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</si>
  <si>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</si>
  <si>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</si>
  <si>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</si>
  <si>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</si>
  <si>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</si>
  <si>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</si>
  <si>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</si>
  <si>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</si>
  <si>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</si>
  <si>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</si>
  <si>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</si>
  <si>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</si>
  <si>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</si>
  <si>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</si>
  <si>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</si>
  <si>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</si>
  <si>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</si>
  <si>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</si>
  <si>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</si>
  <si>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</si>
  <si>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  Federal highway use tax</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</si>
  <si>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</si>
  <si>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</si>
  <si>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</si>
  <si>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</si>
  <si>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</si>
  <si>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</si>
  <si>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</si>
  <si>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</si>
  <si>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</si>
  <si>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</si>
  <si>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</si>
  <si>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</si>
  <si>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</si>
  <si>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</si>
  <si>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</si>
  <si>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</si>
  <si>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</si>
  <si>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</si>
  <si>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</si>
  <si>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</si>
  <si>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</si>
  <si>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</si>
  <si>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</si>
  <si>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</si>
  <si>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</si>
  <si>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</si>
  <si>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</si>
  <si>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</si>
  <si>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</si>
  <si>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</si>
  <si>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</si>
  <si>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</si>
  <si>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</si>
  <si>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</si>
  <si>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</si>
  <si>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</si>
  <si>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</si>
  <si>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</si>
  <si>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</si>
  <si>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</si>
  <si>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</si>
  <si>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</si>
  <si>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</si>
  <si>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</si>
  <si>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</si>
  <si>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</si>
  <si>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</si>
  <si>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</si>
  <si>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</si>
  <si>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</si>
  <si>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</si>
  <si>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</si>
  <si>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</si>
  <si>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</si>
  <si>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</si>
  <si>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</si>
  <si>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</si>
  <si>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</si>
  <si>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</si>
  <si>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</si>
  <si>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</si>
  <si>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</si>
  <si>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</si>
  <si>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</si>
  <si>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</si>
  <si>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</si>
  <si>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</si>
  <si>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</si>
  <si>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</si>
  <si>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</si>
  <si>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</si>
  <si>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</si>
  <si>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</si>
  <si>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</si>
  <si>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</si>
  <si>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</si>
  <si>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</si>
  <si>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</si>
  <si>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</si>
  <si>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</si>
  <si>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</si>
  <si>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</si>
  <si>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</si>
  <si>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</si>
  <si>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</si>
  <si>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</si>
  <si>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</si>
  <si>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</si>
  <si>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</si>
  <si>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</si>
  <si>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</si>
  <si>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</si>
  <si>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</si>
  <si>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</si>
  <si>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</si>
  <si>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</si>
  <si>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</si>
  <si>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</si>
  <si>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</si>
  <si>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</si>
  <si>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</si>
  <si>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</si>
  <si>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</si>
  <si>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</si>
  <si>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</si>
  <si>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</si>
  <si>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</si>
  <si>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</si>
  <si>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</si>
  <si>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</si>
  <si>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</si>
  <si>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</si>
  <si>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</si>
  <si>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</si>
  <si>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</si>
  <si>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</si>
  <si>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</si>
  <si>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</si>
  <si>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</si>
  <si>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</si>
  <si>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</si>
  <si>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</si>
  <si>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</si>
  <si>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Transmission Expenses - Total (Sum of lines 1-25)</t>
  </si>
  <si>
    <t>COLI Related Prepayment</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</si>
  <si>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</si>
  <si>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</si>
  <si>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</si>
  <si>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</si>
  <si>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</si>
  <si>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</si>
  <si>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</si>
  <si>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</si>
  <si>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</si>
  <si>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</si>
  <si>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</si>
  <si>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</si>
  <si>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</si>
  <si>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</si>
  <si>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</si>
  <si>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</si>
  <si>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</si>
  <si>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</si>
  <si>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</si>
  <si>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</si>
  <si>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</si>
  <si>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</si>
  <si>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</si>
  <si>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</si>
  <si>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</si>
  <si>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</si>
  <si>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</si>
  <si>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</si>
  <si>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</si>
  <si>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</si>
  <si>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</si>
  <si>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</si>
  <si>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</si>
  <si>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</si>
  <si>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</si>
  <si>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</si>
  <si>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</si>
  <si>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</si>
  <si>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</si>
  <si>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</si>
  <si>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</si>
  <si>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</si>
  <si>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</si>
  <si>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</si>
  <si>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</si>
  <si>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</si>
  <si>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</si>
  <si>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</si>
  <si>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</si>
  <si>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</si>
  <si>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</si>
  <si>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</si>
  <si>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</si>
  <si>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</si>
  <si>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</si>
  <si>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</si>
  <si>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</si>
  <si>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</si>
  <si>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</si>
  <si>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</si>
  <si>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</si>
  <si>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</si>
  <si>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</si>
  <si>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</si>
  <si>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</si>
  <si>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</si>
  <si>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</si>
  <si>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</si>
  <si>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</si>
  <si>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</si>
  <si>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</si>
  <si>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</si>
  <si>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</si>
  <si>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</si>
  <si>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</si>
  <si>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</si>
  <si>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</si>
  <si>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</si>
  <si>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</si>
  <si>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</si>
  <si>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</si>
  <si>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</si>
  <si>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</si>
  <si>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</si>
  <si>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</si>
  <si>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</si>
  <si>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</si>
  <si>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</si>
  <si>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</si>
  <si>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</si>
  <si>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</si>
  <si>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</si>
  <si>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</si>
  <si>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</si>
  <si>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</si>
  <si>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</si>
  <si>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</si>
  <si>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</si>
  <si>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</si>
  <si>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</si>
  <si>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</si>
  <si>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</si>
  <si>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</si>
  <si>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</si>
  <si>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</si>
  <si>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</si>
  <si>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</si>
  <si>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</si>
  <si>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</si>
  <si>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</si>
  <si>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</si>
  <si>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</si>
  <si>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</si>
  <si>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</si>
  <si>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</si>
  <si>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</si>
  <si>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</si>
  <si>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</si>
  <si>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</si>
  <si>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</si>
  <si>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</si>
  <si>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</si>
  <si>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</si>
  <si>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</si>
  <si>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</si>
  <si>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</si>
  <si>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</si>
  <si>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</si>
  <si>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</si>
  <si>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</si>
  <si>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</si>
  <si>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</si>
  <si>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</si>
  <si>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</si>
  <si>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</si>
  <si>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</si>
  <si>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</si>
  <si>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</si>
  <si>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</si>
  <si>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</si>
  <si>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</si>
  <si>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</si>
  <si>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</si>
  <si>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</si>
  <si>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</si>
  <si>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</si>
  <si>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</si>
  <si>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</si>
  <si>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</si>
  <si>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</si>
  <si>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</si>
  <si>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</si>
  <si>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</si>
  <si>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</si>
  <si>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</si>
  <si>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</si>
  <si>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</si>
  <si>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</si>
  <si>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</si>
  <si>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</si>
  <si>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</si>
  <si>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</si>
  <si>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</si>
  <si>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</si>
  <si>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</si>
  <si>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</si>
  <si>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</si>
  <si>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</si>
  <si>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</si>
  <si>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</si>
  <si>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</si>
  <si>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</si>
  <si>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</si>
  <si>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</si>
  <si>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</si>
  <si>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</si>
  <si>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</si>
  <si>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</si>
  <si>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</si>
  <si>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</si>
  <si>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</si>
  <si>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</si>
  <si>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</si>
  <si>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</si>
  <si>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</si>
  <si>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</si>
  <si>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</si>
  <si>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</si>
  <si>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</si>
  <si>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</si>
  <si>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</si>
  <si>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</si>
  <si>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</si>
  <si>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</si>
  <si>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</si>
  <si>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</si>
  <si>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</si>
  <si>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</si>
  <si>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</si>
  <si>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</si>
  <si>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</si>
  <si>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</si>
  <si>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</si>
  <si>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</si>
  <si>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</si>
  <si>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</si>
  <si>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</si>
  <si>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</si>
  <si>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</si>
  <si>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</si>
  <si>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</si>
  <si>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</si>
  <si>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</si>
  <si>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</si>
  <si>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</si>
  <si>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</si>
  <si>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</si>
  <si>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</si>
  <si>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</si>
  <si>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</si>
  <si>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</si>
  <si>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</si>
  <si>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</si>
  <si>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</si>
  <si>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</si>
  <si>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</si>
  <si>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</si>
  <si>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</si>
  <si>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</si>
  <si>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</si>
  <si>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</si>
  <si>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</si>
  <si>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</si>
  <si>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</si>
  <si>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</si>
  <si>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</si>
  <si>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</si>
  <si>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</si>
  <si>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</si>
  <si>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</si>
  <si>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</si>
  <si>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</si>
  <si>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</si>
  <si>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</si>
  <si>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</si>
  <si>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</si>
  <si>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</si>
  <si>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</si>
  <si>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</si>
  <si>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</si>
  <si>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</si>
  <si>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</si>
  <si>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</si>
  <si>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</si>
  <si>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</si>
  <si>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</si>
  <si>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</si>
  <si>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</si>
  <si>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</si>
  <si>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</si>
  <si>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</si>
  <si>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</si>
  <si>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</si>
  <si>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</si>
  <si>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</si>
  <si>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</si>
  <si>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</si>
  <si>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</si>
  <si>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</si>
  <si>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</si>
  <si>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</si>
  <si>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</si>
  <si>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</si>
  <si>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</si>
  <si>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</si>
  <si>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</si>
  <si>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</si>
  <si>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</si>
  <si>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</si>
  <si>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</si>
  <si>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</si>
  <si>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</si>
  <si>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</si>
  <si>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</si>
  <si>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</si>
  <si>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</si>
  <si>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</si>
  <si>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</si>
  <si>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</si>
  <si>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</si>
  <si>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</si>
  <si>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</si>
  <si>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</si>
  <si>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</si>
  <si>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</si>
  <si>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</si>
  <si>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</si>
  <si>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</si>
  <si>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</si>
  <si>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</si>
  <si>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</si>
  <si>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</si>
  <si>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</si>
  <si>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</si>
  <si>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</si>
  <si>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</si>
  <si>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</si>
  <si>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</si>
  <si>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</si>
  <si>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</si>
  <si>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</si>
  <si>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</si>
  <si>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</si>
  <si>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</si>
  <si>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</si>
  <si>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</si>
  <si>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</si>
  <si>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</si>
  <si>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</si>
  <si>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</si>
  <si>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</si>
  <si>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</si>
  <si>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</si>
  <si>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t>December 31, 2019</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</si>
  <si>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</si>
  <si>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</si>
  <si>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 Benefit Obligation</t>
  </si>
  <si>
    <t>12/31/2019 (Actual)</t>
  </si>
  <si>
    <t>Accrued Benefits</t>
  </si>
  <si>
    <t>Accrued Environmental Liability</t>
  </si>
  <si>
    <t>Accrued OPEB</t>
  </si>
  <si>
    <t>Accrued Payroll Taxes - AIP</t>
  </si>
  <si>
    <t>Accrued Worker's Compensation</t>
  </si>
  <si>
    <t>Accrued Other Expenses</t>
  </si>
  <si>
    <t>Accrued Liability - DC Distribution Underground</t>
  </si>
  <si>
    <t>Asset Retirement Obligation</t>
  </si>
  <si>
    <t>Long-term Incentive Plan</t>
  </si>
  <si>
    <t>Other Deferred Credits</t>
  </si>
  <si>
    <t>Regulatory Liability</t>
  </si>
  <si>
    <t>Sales &amp; Use Tax Reserve</t>
  </si>
  <si>
    <t>State Net Operating Loss Carryforward</t>
  </si>
  <si>
    <t>Capital Loss Carryforward</t>
  </si>
  <si>
    <t>Unamortized Investment Tax Credit</t>
  </si>
  <si>
    <t>Plant Deferred Taxes</t>
  </si>
  <si>
    <t>Contributions in Aid of Construction</t>
  </si>
  <si>
    <t>Leased Vehicles</t>
  </si>
  <si>
    <t>FAS 109 - AFUDC Equity</t>
  </si>
  <si>
    <t xml:space="preserve">FAS 109 - Flow through </t>
  </si>
  <si>
    <t>Accrued Property Taxes</t>
  </si>
  <si>
    <t>Pension Asset</t>
  </si>
  <si>
    <t>Regulatory Asset</t>
  </si>
  <si>
    <t>Regulatory Asset - Worker's Compensation</t>
  </si>
  <si>
    <t>Regulatory Asset - FERC Transmission True-up</t>
  </si>
  <si>
    <t>Unamortized Loss on Reacquired Debt</t>
  </si>
  <si>
    <t>Other 190</t>
  </si>
  <si>
    <t>FAS 109 Regulatory Liability Gross Up</t>
  </si>
  <si>
    <t>Plant Deferred Taxes - FAS 109</t>
  </si>
  <si>
    <t>AFUDC Equity</t>
  </si>
  <si>
    <t>Maryland Subtraction Modification</t>
  </si>
  <si>
    <t>Plant Deferred Taxes - Flow-through</t>
  </si>
  <si>
    <t>Other Deferred Debits</t>
  </si>
  <si>
    <t xml:space="preserve">  Other Prepayments including working fund and other</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</si>
  <si>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</si>
  <si>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</si>
  <si>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</si>
  <si>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</si>
  <si>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</si>
  <si>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</si>
  <si>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</si>
  <si>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</si>
  <si>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</si>
  <si>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</si>
  <si>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</si>
  <si>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</si>
  <si>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</si>
  <si>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</si>
  <si>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</si>
  <si>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</si>
  <si>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 xml:space="preserve">Zonal </t>
  </si>
  <si>
    <t>Brighton Sub</t>
  </si>
  <si>
    <t>B0288</t>
  </si>
  <si>
    <t>Burches Hill 500/230 kV transformer - second 1000 MVA</t>
  </si>
  <si>
    <t>B0319</t>
  </si>
  <si>
    <t>Reconductor Dickerson-Quince Orchard 230 kV</t>
  </si>
  <si>
    <t>B0367.1/B0367.2</t>
  </si>
  <si>
    <t>Chalk Point 230 kV Breaker 1A</t>
  </si>
  <si>
    <t>B0512.7</t>
  </si>
  <si>
    <t>Chalk Point 230 kV Breaker 1B</t>
  </si>
  <si>
    <t>B0512.8</t>
  </si>
  <si>
    <t>Chalk Point 230 kV Breaker 2A</t>
  </si>
  <si>
    <t>B0512.9</t>
  </si>
  <si>
    <t>Chalk Point 230 kV Breaker 3A</t>
  </si>
  <si>
    <t>B0512.12</t>
  </si>
  <si>
    <t>Burches Hill-Palmer Cr Upgrade 23090, 91, 92, 93</t>
  </si>
  <si>
    <t>B0478</t>
  </si>
  <si>
    <t>Burches Hill Sub:  Add 3rd 500/230kV</t>
  </si>
  <si>
    <t>B0499</t>
  </si>
  <si>
    <t>Ritchie-Benning:  Install (2) 230kV Lines</t>
  </si>
  <si>
    <t>B0526</t>
  </si>
  <si>
    <t>Benning Sub:  Add 3rd 230/69kV, 250MVA</t>
  </si>
  <si>
    <t>B0701.1</t>
  </si>
  <si>
    <t>Brighton Sub: Upgrade T1 500/230kv Transformer</t>
  </si>
  <si>
    <t>B0496</t>
  </si>
  <si>
    <t>Convert Buzzard to Ritchie Line - 138kV to 230kV</t>
  </si>
  <si>
    <t>B1125</t>
  </si>
  <si>
    <t>Reconductor feeder Dickerson to Quince Orchard</t>
  </si>
  <si>
    <t>b2008</t>
  </si>
  <si>
    <t>Reconductor the Dickerson - Pleasant View 230kV circuit</t>
  </si>
  <si>
    <t xml:space="preserve">b0467.1 </t>
  </si>
  <si>
    <t>Upgrade the 230kV line from Buzzard 016 - Ritchie 059</t>
  </si>
  <si>
    <t xml:space="preserve">b1126 </t>
  </si>
  <si>
    <t xml:space="preserve">Reconductor the Dickerson station “H” – Quince Orchard 230 kV </t>
  </si>
  <si>
    <t>b1596</t>
  </si>
  <si>
    <t>(Attachment 7)</t>
  </si>
  <si>
    <t xml:space="preserve">  (net of accumulated depreciation) towards the construction of Network Transmission Facilities consistent with Paragraph 657 of Order 2003-A. </t>
  </si>
  <si>
    <t>Government Affairs</t>
  </si>
  <si>
    <t>"All revenue requirements excluding projects and adjustments" on line 17a refers to all projects not qualifying for regional recovery or adjustments.</t>
  </si>
  <si>
    <t>Working Funds</t>
  </si>
  <si>
    <t>Prepaid Rent</t>
  </si>
  <si>
    <t>Depreciation expense 2020 actual, FF1 p336.7b&amp;c</t>
  </si>
  <si>
    <t xml:space="preserve">Depreciation expense 2020 actual, FF1 p336.10b&amp;c </t>
  </si>
  <si>
    <t>Amortization  2020 actual, FF1 p336.1d&amp;e</t>
  </si>
  <si>
    <t>December 31, 2020</t>
  </si>
  <si>
    <t>12/31/2020 (Actual)</t>
  </si>
  <si>
    <t>12 Months Ended December 31, 2020</t>
  </si>
  <si>
    <t>Accrued Liability - Legal</t>
  </si>
  <si>
    <t>Deferred Revenue</t>
  </si>
  <si>
    <t>Regulatory Liability - FERC Transmission True-up</t>
  </si>
  <si>
    <t>State Income Taxes</t>
  </si>
  <si>
    <t xml:space="preserve"> Transmission Capital Lease $76,000,000, Distribution Capital Lease $76,000,000, and General capital lease $20,144,864</t>
  </si>
  <si>
    <t xml:space="preserve"> Transmission Capital Lease amortization $76,000,000, Distribution Capital Lease amortization $76,000,000, and General capital lease amortization $3,303,545,105</t>
  </si>
  <si>
    <t xml:space="preserve">The actuarially determined amount of OPEB expense in FERC 926 decreased $1.1 million from the prior year; the decrease primarily represents favorable asset returns which were 14.40% in 2020 compared to unfavorable -4.66% in 2019. In addition, interest rates decreased from 4.27% in 2019 to 3.27% in 2020. The impact of the decrease in the discount rate decreases interest cost and increases service cost; however, the decrease in interest cost more than offset the increase in service cost.
</t>
  </si>
  <si>
    <t>2020
True-Up</t>
  </si>
  <si>
    <t>December 31, 2020(Actual)</t>
  </si>
  <si>
    <t xml:space="preserve">December 31, 2019 (Actual) </t>
  </si>
  <si>
    <t>Actual for the 12 Months Ended December 31, 2020</t>
  </si>
  <si>
    <t>Reference for Excel Cell F317 should be (Line 164 - 86) / 165</t>
  </si>
  <si>
    <t>Total - Pg. 275  (Form 1-F filer:  see note 7, below)</t>
  </si>
  <si>
    <t>Attachment 6B - True-Up Interest</t>
  </si>
  <si>
    <t>The Total line in Excel cell A70 should have a line number 22</t>
  </si>
  <si>
    <t>Attachment 9 - Rate Base</t>
  </si>
  <si>
    <t>Excel D10</t>
  </si>
  <si>
    <t>Reference should be "207.99.g minus 207.98.g plus 205.5.g for end of year, records for other months"</t>
  </si>
  <si>
    <t>Separation Costs</t>
  </si>
  <si>
    <t>Year Ended December 31,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</si>
</sst>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 numFmtId="182" formatCode="0_);\(0\)"/>
    <numFmt numFmtId="183" formatCode="#,##0.00000"/>
    <numFmt numFmtId="184" formatCode="&quot;$&quot;#,##0"/>
    <numFmt numFmtId="185" formatCode="_(* #,##0.00000_);_(* \(#,##0.00000\);_(* &quot;-&quot;?????_);_(@_)"/>
    <numFmt numFmtId="186" formatCode="_(* #,##0.000_);_(* \(#,##0.000\);_(* &quot;-&quot;???_);_(@_)"/>
    <numFmt numFmtId="187" formatCode="0_)"/>
    <numFmt numFmtId="188" formatCode="0.0"/>
    <numFmt numFmtId="189" formatCode="_(&quot;$&quot;* #,##0.0_);_(&quot;$&quot;* \(#,##0.0\);_(&quot;$&quot;* &quot;-&quot;??_);_(@_)"/>
    <numFmt numFmtId="190" formatCode="_(&quot;$&quot;* #,##0.0000_);_(&quot;$&quot;* \(#,##0.0000\);_(&quot;$&quot;* &quot;-&quot;??_);_(@_)"/>
  </numFmts>
  <fonts count="124">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sz val="10"/>
      <name val="Courier"/>
      <family val="3"/>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
      <b/>
      <sz val="10"/>
      <color rgb="FFFF0000"/>
      <name val="Calibri"/>
      <family val="2"/>
      <scheme val="minor"/>
    </font>
    <font>
      <sz val="10"/>
      <color rgb="FFFF0000"/>
      <name val="Calibri"/>
      <family val="2"/>
      <scheme val="minor"/>
    </font>
    <font>
      <sz val="10"/>
      <name val="Calibri"/>
      <family val="2"/>
      <scheme val="minor"/>
    </font>
  </fonts>
  <fills count="14">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59">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30"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7" fillId="0" borderId="0"/>
    <xf numFmtId="43" fontId="47" fillId="0" borderId="0" applyFont="0" applyFill="0" applyBorder="0" applyAlignment="0" applyProtection="0"/>
    <xf numFmtId="168" fontId="33" fillId="0" borderId="0" applyProtection="0"/>
    <xf numFmtId="0" fontId="64" fillId="0" borderId="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168" fontId="33" fillId="0" borderId="0" applyProtection="0"/>
    <xf numFmtId="0" fontId="8" fillId="0" borderId="0"/>
    <xf numFmtId="168" fontId="33" fillId="0" borderId="0" applyProtection="0"/>
    <xf numFmtId="168" fontId="33" fillId="0" borderId="0" applyProtection="0"/>
    <xf numFmtId="0" fontId="33" fillId="0" borderId="0" applyProtection="0"/>
    <xf numFmtId="0" fontId="8" fillId="0" borderId="0"/>
    <xf numFmtId="0" fontId="8" fillId="0" borderId="0"/>
    <xf numFmtId="168" fontId="33" fillId="0" borderId="0" applyProtection="0"/>
    <xf numFmtId="0" fontId="8" fillId="0" borderId="0"/>
    <xf numFmtId="0" fontId="62" fillId="0" borderId="0"/>
    <xf numFmtId="168" fontId="33" fillId="0" borderId="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41" fontId="62" fillId="0" borderId="0" applyFont="0" applyFill="0" applyBorder="0" applyAlignment="0" applyProtection="0"/>
    <xf numFmtId="0" fontId="62" fillId="0" borderId="0"/>
    <xf numFmtId="0" fontId="62" fillId="0" borderId="0"/>
    <xf numFmtId="41" fontId="62"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168" fontId="33" fillId="0" borderId="0" applyProtection="0"/>
    <xf numFmtId="168" fontId="33" fillId="0" borderId="0" applyProtection="0"/>
    <xf numFmtId="0" fontId="8" fillId="0" borderId="0"/>
    <xf numFmtId="0" fontId="83" fillId="0" borderId="0"/>
    <xf numFmtId="0" fontId="62" fillId="0" borderId="0"/>
    <xf numFmtId="0" fontId="8" fillId="0" borderId="0"/>
    <xf numFmtId="168" fontId="33" fillId="0" borderId="0" applyProtection="0"/>
    <xf numFmtId="0" fontId="8" fillId="0" borderId="0"/>
    <xf numFmtId="168" fontId="33" fillId="0" borderId="0" applyProtection="0"/>
    <xf numFmtId="44" fontId="62" fillId="0" borderId="0" applyFont="0" applyFill="0" applyBorder="0" applyAlignment="0" applyProtection="0"/>
    <xf numFmtId="44" fontId="8" fillId="0" borderId="0" applyFont="0" applyFill="0" applyBorder="0" applyAlignment="0" applyProtection="0"/>
    <xf numFmtId="0" fontId="62" fillId="0" borderId="0"/>
    <xf numFmtId="0" fontId="8"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8" fillId="0" borderId="0"/>
    <xf numFmtId="43" fontId="62" fillId="0" borderId="0" applyFont="0" applyFill="0" applyBorder="0" applyAlignment="0" applyProtection="0"/>
    <xf numFmtId="9"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5" fillId="0" borderId="0"/>
    <xf numFmtId="0" fontId="8" fillId="0" borderId="0"/>
    <xf numFmtId="0" fontId="102" fillId="0" borderId="0"/>
    <xf numFmtId="0" fontId="8" fillId="0" borderId="0"/>
    <xf numFmtId="43" fontId="47" fillId="0" borderId="0" applyFont="0" applyFill="0" applyBorder="0" applyAlignment="0" applyProtection="0"/>
    <xf numFmtId="0" fontId="47" fillId="0" borderId="0"/>
    <xf numFmtId="9" fontId="8" fillId="0" borderId="0" applyFont="0" applyFill="0" applyBorder="0" applyAlignment="0" applyProtection="0"/>
    <xf numFmtId="0" fontId="8" fillId="0" borderId="0"/>
    <xf numFmtId="0" fontId="8" fillId="0" borderId="0"/>
    <xf numFmtId="0" fontId="8" fillId="0" borderId="0"/>
  </cellStyleXfs>
  <cellXfs count="2050">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10" fontId="12" fillId="0" borderId="1" xfId="2" applyNumberFormat="1" applyFont="1" applyFill="1" applyBorder="1" applyAlignment="1">
      <alignment horizontal="center"/>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8" fillId="0" borderId="0" xfId="0" applyFont="1" applyBorder="1"/>
    <xf numFmtId="169" fontId="6" fillId="0" borderId="6" xfId="0"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6" fillId="0" borderId="0" xfId="0" applyFont="1"/>
    <xf numFmtId="0" fontId="27" fillId="0" borderId="0" xfId="0" applyFont="1"/>
    <xf numFmtId="0" fontId="28"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4" fillId="0" borderId="5" xfId="0" applyFont="1" applyBorder="1"/>
    <xf numFmtId="0" fontId="24" fillId="0" borderId="0" xfId="0" applyFont="1" applyBorder="1"/>
    <xf numFmtId="0" fontId="24" fillId="0" borderId="0" xfId="0" applyFont="1" applyBorder="1" applyAlignment="1">
      <alignment horizontal="center"/>
    </xf>
    <xf numFmtId="166" fontId="24" fillId="0" borderId="0" xfId="6"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applyBorder="1"/>
    <xf numFmtId="166" fontId="24" fillId="0" borderId="6" xfId="0" applyNumberFormat="1" applyFont="1" applyBorder="1"/>
    <xf numFmtId="166" fontId="24" fillId="0" borderId="0" xfId="6" applyNumberFormat="1" applyFont="1" applyBorder="1"/>
    <xf numFmtId="164" fontId="24" fillId="0" borderId="0" xfId="6" applyNumberFormat="1" applyFont="1" applyBorder="1"/>
    <xf numFmtId="0" fontId="24" fillId="0" borderId="12" xfId="0" applyFont="1" applyBorder="1"/>
    <xf numFmtId="166" fontId="24" fillId="0" borderId="12" xfId="6"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0" fontId="24" fillId="0" borderId="1" xfId="0" applyFont="1" applyFill="1" applyBorder="1"/>
    <xf numFmtId="166" fontId="24" fillId="0" borderId="1" xfId="0" applyNumberFormat="1" applyFont="1" applyBorder="1"/>
    <xf numFmtId="166" fontId="24" fillId="0" borderId="1" xfId="6" applyNumberFormat="1" applyFont="1" applyBorder="1"/>
    <xf numFmtId="166" fontId="24" fillId="0" borderId="8" xfId="0" applyNumberFormat="1" applyFont="1" applyFill="1" applyBorder="1"/>
    <xf numFmtId="0" fontId="26" fillId="0" borderId="0" xfId="0" applyFont="1" applyFill="1" applyBorder="1"/>
    <xf numFmtId="0" fontId="27" fillId="0" borderId="0" xfId="0" applyFont="1" applyFill="1" applyBorder="1"/>
    <xf numFmtId="0" fontId="28" fillId="0" borderId="0" xfId="0" applyFont="1" applyFill="1" applyBorder="1"/>
    <xf numFmtId="0" fontId="28" fillId="4" borderId="4" xfId="0" applyFont="1" applyFill="1" applyBorder="1"/>
    <xf numFmtId="0" fontId="28" fillId="4" borderId="3" xfId="0" applyFont="1" applyFill="1" applyBorder="1"/>
    <xf numFmtId="0" fontId="24" fillId="0" borderId="5" xfId="0" applyFont="1" applyFill="1" applyBorder="1"/>
    <xf numFmtId="0" fontId="24" fillId="0" borderId="0" xfId="0" applyFont="1" applyFill="1" applyBorder="1"/>
    <xf numFmtId="166" fontId="24" fillId="0" borderId="0" xfId="6" applyNumberFormat="1" applyFont="1" applyFill="1" applyBorder="1"/>
    <xf numFmtId="0" fontId="0" fillId="0" borderId="0" xfId="0" applyFill="1" applyBorder="1" applyAlignment="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1"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2" fontId="25" fillId="0" borderId="0" xfId="0" applyNumberFormat="1" applyFont="1" applyFill="1" applyAlignment="1"/>
    <xf numFmtId="173" fontId="25" fillId="0" borderId="0" xfId="8" applyNumberFormat="1" applyFont="1" applyFill="1" applyBorder="1" applyAlignment="1"/>
    <xf numFmtId="3" fontId="25" fillId="0" borderId="0" xfId="0" quotePrefix="1" applyNumberFormat="1" applyFont="1" applyAlignment="1">
      <alignment horizontal="right"/>
    </xf>
    <xf numFmtId="172"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2"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25" fillId="6" borderId="0" xfId="0" applyFont="1" applyFill="1" applyAlignment="1"/>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4" fontId="25" fillId="0" borderId="0" xfId="0" applyNumberFormat="1" applyFont="1" applyAlignment="1">
      <alignment horizontal="center"/>
    </xf>
    <xf numFmtId="0" fontId="33" fillId="0" borderId="0" xfId="0" applyNumberFormat="1" applyFont="1" applyFill="1"/>
    <xf numFmtId="10" fontId="33"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5" fillId="0" borderId="0" xfId="0" applyNumberFormat="1" applyFont="1" applyBorder="1" applyAlignment="1">
      <alignment horizontal="right"/>
    </xf>
    <xf numFmtId="0" fontId="7" fillId="0" borderId="19" xfId="0" applyNumberFormat="1" applyFont="1" applyBorder="1" applyAlignment="1">
      <alignment horizontal="left"/>
    </xf>
    <xf numFmtId="0" fontId="36" fillId="0" borderId="19" xfId="0" applyNumberFormat="1" applyFont="1" applyFill="1" applyBorder="1" applyAlignment="1">
      <alignment horizontal="center"/>
    </xf>
    <xf numFmtId="3" fontId="35"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10" fontId="16" fillId="0" borderId="0" xfId="0" applyNumberFormat="1" applyFont="1" applyFill="1" applyAlignment="1">
      <alignment horizontal="right"/>
    </xf>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4"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164" fontId="7" fillId="0" borderId="20" xfId="8" applyNumberFormat="1" applyFont="1" applyFill="1" applyBorder="1" applyAlignment="1">
      <alignment horizontal="right"/>
    </xf>
    <xf numFmtId="3" fontId="25" fillId="0" borderId="0" xfId="0" applyNumberFormat="1" applyFont="1" applyFill="1" applyAlignment="1">
      <alignment horizontal="right"/>
    </xf>
    <xf numFmtId="174" fontId="25" fillId="0" borderId="0" xfId="0" applyNumberFormat="1" applyFont="1" applyAlignment="1"/>
    <xf numFmtId="175"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40"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8" fillId="0" borderId="0" xfId="0" applyNumberFormat="1" applyFont="1"/>
    <xf numFmtId="164" fontId="8" fillId="0" borderId="0" xfId="0" applyNumberFormat="1" applyFont="1" applyFill="1"/>
    <xf numFmtId="37" fontId="8" fillId="0" borderId="0" xfId="14" applyNumberFormat="1" applyFill="1"/>
    <xf numFmtId="0" fontId="41"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42" fillId="0" borderId="0" xfId="15" applyFont="1" applyFill="1" applyAlignment="1">
      <alignment horizontal="center"/>
    </xf>
    <xf numFmtId="0" fontId="8" fillId="0" borderId="0" xfId="15" applyFill="1"/>
    <xf numFmtId="0" fontId="24" fillId="0" borderId="0" xfId="16" applyFont="1"/>
    <xf numFmtId="0" fontId="40" fillId="0" borderId="0" xfId="15" applyFont="1" applyFill="1"/>
    <xf numFmtId="0" fontId="40"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3"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42" fillId="0" borderId="0" xfId="14" applyFont="1" applyFill="1"/>
    <xf numFmtId="0" fontId="40" fillId="0" borderId="0" xfId="14" applyFont="1" applyFill="1"/>
    <xf numFmtId="0" fontId="44"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40"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45" fillId="0" borderId="0" xfId="0" applyFont="1" applyFill="1" applyAlignment="1">
      <alignment horizontal="center"/>
    </xf>
    <xf numFmtId="0" fontId="45" fillId="0" borderId="0" xfId="0" applyFont="1"/>
    <xf numFmtId="0" fontId="46" fillId="0" borderId="0" xfId="0" applyFont="1" applyFill="1" applyAlignment="1">
      <alignment horizontal="center"/>
    </xf>
    <xf numFmtId="0" fontId="45" fillId="0" borderId="0" xfId="0" applyFont="1" applyAlignment="1">
      <alignment horizontal="center"/>
    </xf>
    <xf numFmtId="0" fontId="45" fillId="0" borderId="0" xfId="0" applyFont="1" applyFill="1" applyAlignment="1">
      <alignment horizontal="right"/>
    </xf>
    <xf numFmtId="0" fontId="45"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5" fillId="0" borderId="0" xfId="0" applyNumberFormat="1" applyFont="1" applyFill="1" applyBorder="1" applyAlignment="1">
      <alignment horizontal="center"/>
    </xf>
    <xf numFmtId="0" fontId="0" fillId="2" borderId="0" xfId="0" applyFill="1" applyAlignment="1">
      <alignment horizontal="right"/>
    </xf>
    <xf numFmtId="0" fontId="8" fillId="0" borderId="0" xfId="0" applyNumberFormat="1" applyFont="1" applyFill="1" applyBorder="1" applyAlignment="1">
      <alignment horizontal="left"/>
    </xf>
    <xf numFmtId="0" fontId="45"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45" fillId="2" borderId="0" xfId="0" applyNumberFormat="1" applyFont="1" applyFill="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8" fillId="0" borderId="0" xfId="0" applyFont="1" applyAlignment="1">
      <alignment horizontal="center"/>
    </xf>
    <xf numFmtId="0" fontId="49" fillId="0" borderId="0" xfId="0" applyFont="1" applyBorder="1" applyAlignment="1">
      <alignment horizontal="center"/>
    </xf>
    <xf numFmtId="0" fontId="50" fillId="0" borderId="0" xfId="0" applyFont="1" applyFill="1" applyAlignment="1">
      <alignment horizontal="left"/>
    </xf>
    <xf numFmtId="0" fontId="50" fillId="0" borderId="0" xfId="0" applyFont="1" applyFill="1" applyAlignment="1"/>
    <xf numFmtId="0" fontId="50" fillId="0" borderId="0" xfId="0" applyFont="1" applyFill="1" applyAlignment="1">
      <alignment horizontal="center"/>
    </xf>
    <xf numFmtId="0" fontId="50" fillId="0" borderId="0" xfId="0" applyFont="1" applyFill="1"/>
    <xf numFmtId="0" fontId="48"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8" fillId="7" borderId="7" xfId="0" applyFont="1" applyFill="1" applyBorder="1" applyAlignment="1">
      <alignment horizontal="left"/>
    </xf>
    <xf numFmtId="0" fontId="31" fillId="7" borderId="1" xfId="0" applyFont="1" applyFill="1" applyBorder="1" applyAlignment="1"/>
    <xf numFmtId="0" fontId="7" fillId="7" borderId="1" xfId="0" applyFont="1" applyFill="1" applyBorder="1" applyAlignment="1"/>
    <xf numFmtId="0" fontId="31"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8" fillId="0" borderId="0" xfId="0" applyFont="1" applyFill="1" applyBorder="1" applyAlignment="1">
      <alignment horizontal="left"/>
    </xf>
    <xf numFmtId="0" fontId="31" fillId="0" borderId="0" xfId="0" applyFont="1" applyFill="1" applyBorder="1" applyAlignment="1"/>
    <xf numFmtId="0" fontId="7" fillId="0" borderId="0" xfId="0" applyFont="1" applyFill="1" applyBorder="1" applyAlignment="1"/>
    <xf numFmtId="0" fontId="31"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1" fillId="6" borderId="0" xfId="0" applyFont="1" applyFill="1" applyBorder="1" applyAlignment="1">
      <alignment horizontal="left"/>
    </xf>
    <xf numFmtId="0" fontId="51" fillId="6" borderId="0" xfId="0" applyFont="1" applyFill="1" applyBorder="1" applyAlignment="1"/>
    <xf numFmtId="0" fontId="25" fillId="6" borderId="0" xfId="0" applyFont="1" applyFill="1" applyBorder="1" applyAlignment="1"/>
    <xf numFmtId="0" fontId="31"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6"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0" fontId="25" fillId="0" borderId="0" xfId="0" applyFont="1" applyBorder="1" applyAlignment="1">
      <alignment horizontal="center"/>
    </xf>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Fill="1" applyBorder="1" applyAlignment="1">
      <alignment horizontal="center"/>
    </xf>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36" fillId="0" borderId="0" xfId="0" applyFont="1" applyFill="1" applyBorder="1" applyAlignment="1">
      <alignment horizontal="center"/>
    </xf>
    <xf numFmtId="0" fontId="25" fillId="0" borderId="19" xfId="0" applyFont="1" applyFill="1" applyBorder="1"/>
    <xf numFmtId="0" fontId="25" fillId="0" borderId="19" xfId="0" applyFont="1" applyFill="1" applyBorder="1" applyAlignment="1">
      <alignment horizontal="center"/>
    </xf>
    <xf numFmtId="0" fontId="25" fillId="0" borderId="19" xfId="0" applyFont="1" applyBorder="1"/>
    <xf numFmtId="0" fontId="25" fillId="0" borderId="0" xfId="0" applyFont="1" applyFill="1" applyBorder="1" applyAlignment="1">
      <alignment horizontal="center"/>
    </xf>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2" fillId="6" borderId="0" xfId="0" applyFont="1" applyFill="1" applyBorder="1" applyAlignment="1">
      <alignment horizontal="left"/>
    </xf>
    <xf numFmtId="0" fontId="52" fillId="6" borderId="0" xfId="0" applyFont="1" applyFill="1" applyBorder="1" applyAlignment="1"/>
    <xf numFmtId="0" fontId="34" fillId="6" borderId="0" xfId="0" applyNumberFormat="1" applyFont="1" applyFill="1" applyBorder="1" applyAlignment="1">
      <alignment horizontal="center"/>
    </xf>
    <xf numFmtId="0" fontId="52" fillId="0" borderId="0" xfId="0" applyFont="1" applyFill="1" applyBorder="1" applyAlignment="1">
      <alignment horizontal="center"/>
    </xf>
    <xf numFmtId="0" fontId="52" fillId="0" borderId="0" xfId="0" applyFont="1" applyFill="1" applyBorder="1" applyAlignment="1"/>
    <xf numFmtId="0" fontId="34" fillId="0" borderId="0" xfId="0" applyNumberFormat="1" applyFont="1" applyFill="1" applyBorder="1" applyAlignment="1">
      <alignment horizontal="center"/>
    </xf>
    <xf numFmtId="0" fontId="25" fillId="0" borderId="12" xfId="0" applyFont="1" applyBorder="1" applyAlignment="1">
      <alignment horizontal="center"/>
    </xf>
    <xf numFmtId="3" fontId="25" fillId="2" borderId="0" xfId="0" applyNumberFormat="1" applyFont="1" applyFill="1" applyBorder="1" applyAlignment="1"/>
    <xf numFmtId="0" fontId="34" fillId="0" borderId="0" xfId="0" applyNumberFormat="1" applyFont="1" applyFill="1" applyAlignment="1">
      <alignment horizontal="left"/>
    </xf>
    <xf numFmtId="0" fontId="25" fillId="0" borderId="0" xfId="0" applyNumberFormat="1" applyFont="1" applyAlignment="1">
      <alignment horizontal="right"/>
    </xf>
    <xf numFmtId="175" fontId="25" fillId="0" borderId="0" xfId="12" applyNumberFormat="1" applyFont="1" applyAlignment="1"/>
    <xf numFmtId="0" fontId="25" fillId="0" borderId="12" xfId="0" applyFont="1" applyFill="1" applyBorder="1" applyAlignment="1">
      <alignment horizontal="center"/>
    </xf>
    <xf numFmtId="0" fontId="36"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6" fillId="0" borderId="12" xfId="0" applyFont="1" applyFill="1" applyBorder="1" applyAlignment="1">
      <alignment horizontal="center"/>
    </xf>
    <xf numFmtId="0" fontId="25" fillId="0" borderId="0" xfId="0" applyNumberFormat="1" applyFont="1" applyBorder="1" applyAlignment="1"/>
    <xf numFmtId="3" fontId="25" fillId="0" borderId="0" xfId="0" applyNumberFormat="1" applyFont="1" applyBorder="1" applyAlignment="1">
      <alignment horizontal="center"/>
    </xf>
    <xf numFmtId="175" fontId="25" fillId="0" borderId="0" xfId="12" applyNumberFormat="1" applyFont="1" applyBorder="1" applyAlignment="1"/>
    <xf numFmtId="0" fontId="53" fillId="0" borderId="0" xfId="0" applyFont="1" applyAlignment="1">
      <alignment horizontal="left"/>
    </xf>
    <xf numFmtId="0" fontId="53" fillId="0" borderId="0" xfId="0" applyFont="1"/>
    <xf numFmtId="0" fontId="25" fillId="0" borderId="0" xfId="0" applyNumberFormat="1" applyFont="1" applyFill="1" applyBorder="1" applyAlignment="1">
      <alignment horizontal="left"/>
    </xf>
    <xf numFmtId="0" fontId="34"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54" fillId="0" borderId="0" xfId="0" applyFont="1" applyAlignment="1">
      <alignment vertical="center"/>
    </xf>
    <xf numFmtId="0" fontId="25" fillId="0" borderId="0" xfId="0" applyNumberFormat="1" applyFont="1" applyFill="1" applyAlignment="1">
      <alignment horizontal="right"/>
    </xf>
    <xf numFmtId="3" fontId="34" fillId="0" borderId="0" xfId="0" applyNumberFormat="1" applyFont="1" applyFill="1" applyBorder="1" applyAlignment="1">
      <alignment horizontal="right"/>
    </xf>
    <xf numFmtId="4" fontId="35" fillId="0" borderId="0" xfId="0" applyNumberFormat="1" applyFont="1" applyFill="1" applyAlignment="1">
      <alignment horizontal="right"/>
    </xf>
    <xf numFmtId="3" fontId="35" fillId="0" borderId="0" xfId="0" applyNumberFormat="1" applyFont="1" applyAlignment="1">
      <alignment horizontal="right"/>
    </xf>
    <xf numFmtId="0" fontId="55" fillId="0" borderId="0" xfId="0" applyNumberFormat="1" applyFont="1" applyFill="1" applyAlignment="1">
      <alignment horizontal="left"/>
    </xf>
    <xf numFmtId="0" fontId="25" fillId="0" borderId="12" xfId="0" applyNumberFormat="1" applyFont="1" applyFill="1" applyBorder="1" applyAlignment="1">
      <alignment horizontal="left"/>
    </xf>
    <xf numFmtId="3" fontId="35" fillId="0" borderId="0" xfId="0" applyNumberFormat="1" applyFont="1" applyFill="1" applyAlignment="1">
      <alignment horizontal="right"/>
    </xf>
    <xf numFmtId="0" fontId="25" fillId="0" borderId="19" xfId="0" applyNumberFormat="1" applyFont="1" applyBorder="1" applyAlignment="1">
      <alignment horizontal="center"/>
    </xf>
    <xf numFmtId="3" fontId="25" fillId="0" borderId="19" xfId="0" applyNumberFormat="1" applyFont="1" applyBorder="1" applyAlignment="1">
      <alignment horizontal="right"/>
    </xf>
    <xf numFmtId="165" fontId="25" fillId="0" borderId="0" xfId="0" applyNumberFormat="1" applyFont="1" applyAlignment="1">
      <alignment horizontal="right"/>
    </xf>
    <xf numFmtId="0" fontId="37" fillId="0" borderId="0" xfId="0" applyFont="1" applyFill="1" applyAlignment="1">
      <alignment horizontal="center"/>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5" fillId="0" borderId="12" xfId="0" applyNumberFormat="1" applyFont="1" applyBorder="1" applyAlignment="1">
      <alignment horizontal="right"/>
    </xf>
    <xf numFmtId="3" fontId="25" fillId="0" borderId="19" xfId="0" applyNumberFormat="1" applyFont="1" applyBorder="1"/>
    <xf numFmtId="3" fontId="34" fillId="0" borderId="0" xfId="0" applyNumberFormat="1" applyFont="1" applyFill="1" applyAlignment="1">
      <alignment horizontal="right"/>
    </xf>
    <xf numFmtId="176" fontId="34" fillId="0" borderId="0" xfId="12" applyNumberFormat="1" applyFont="1" applyAlignment="1">
      <alignment horizontal="right"/>
    </xf>
    <xf numFmtId="3" fontId="34" fillId="0" borderId="19" xfId="0" applyNumberFormat="1" applyFont="1" applyBorder="1" applyAlignment="1">
      <alignment horizontal="right"/>
    </xf>
    <xf numFmtId="0" fontId="25" fillId="2" borderId="0" xfId="0" applyFont="1" applyFill="1"/>
    <xf numFmtId="0" fontId="25" fillId="0" borderId="12" xfId="0" applyFont="1" applyBorder="1"/>
    <xf numFmtId="0" fontId="36"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6" fillId="6" borderId="0" xfId="0" applyFont="1" applyFill="1" applyAlignment="1">
      <alignment horizontal="left"/>
    </xf>
    <xf numFmtId="0" fontId="56" fillId="6" borderId="0" xfId="0" applyFont="1" applyFill="1" applyAlignment="1"/>
    <xf numFmtId="0" fontId="34" fillId="6" borderId="0" xfId="0" applyNumberFormat="1" applyFont="1" applyFill="1" applyAlignment="1">
      <alignment horizontal="left"/>
    </xf>
    <xf numFmtId="0" fontId="34" fillId="6" borderId="0" xfId="0" applyNumberFormat="1" applyFont="1" applyFill="1" applyAlignment="1">
      <alignment horizontal="center"/>
    </xf>
    <xf numFmtId="0" fontId="34" fillId="0" borderId="0" xfId="0" applyNumberFormat="1" applyFont="1" applyFill="1" applyAlignment="1">
      <alignment horizontal="center"/>
    </xf>
    <xf numFmtId="0" fontId="57" fillId="0" borderId="0" xfId="0" applyFont="1"/>
    <xf numFmtId="0" fontId="7" fillId="0" borderId="0" xfId="0" applyFont="1" applyFill="1" applyAlignment="1"/>
    <xf numFmtId="3" fontId="25" fillId="0" borderId="19" xfId="0" applyNumberFormat="1" applyFont="1" applyFill="1" applyBorder="1" applyAlignment="1">
      <alignment horizontal="center"/>
    </xf>
    <xf numFmtId="0" fontId="25" fillId="0" borderId="12" xfId="0" applyFont="1" applyFill="1" applyBorder="1" applyAlignment="1"/>
    <xf numFmtId="0" fontId="36" fillId="0" borderId="0" xfId="0" applyFont="1" applyFill="1" applyAlignment="1">
      <alignment horizontal="center"/>
    </xf>
    <xf numFmtId="0" fontId="36"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5" fillId="0" borderId="0" xfId="0" applyNumberFormat="1" applyFont="1" applyAlignment="1">
      <alignment horizontal="right"/>
    </xf>
    <xf numFmtId="0" fontId="25" fillId="0" borderId="0" xfId="0" applyFont="1" applyAlignment="1">
      <alignment horizontal="center" vertical="center"/>
    </xf>
    <xf numFmtId="165" fontId="25" fillId="0" borderId="12" xfId="0" applyNumberFormat="1" applyFont="1" applyBorder="1" applyAlignment="1">
      <alignment horizontal="right"/>
    </xf>
    <xf numFmtId="3" fontId="34" fillId="0" borderId="0" xfId="0" applyNumberFormat="1" applyFont="1" applyAlignment="1">
      <alignment horizontal="right"/>
    </xf>
    <xf numFmtId="3" fontId="34" fillId="2" borderId="0" xfId="0" applyNumberFormat="1" applyFont="1" applyFill="1" applyAlignment="1">
      <alignment horizontal="right"/>
    </xf>
    <xf numFmtId="3" fontId="34" fillId="2" borderId="12" xfId="0" applyNumberFormat="1" applyFont="1" applyFill="1" applyBorder="1" applyAlignment="1">
      <alignment horizontal="right"/>
    </xf>
    <xf numFmtId="0" fontId="37" fillId="0" borderId="0" xfId="0" applyNumberFormat="1" applyFont="1" applyFill="1" applyAlignment="1">
      <alignment horizontal="center"/>
    </xf>
    <xf numFmtId="0" fontId="37" fillId="0" borderId="0" xfId="0" applyNumberFormat="1" applyFont="1" applyFill="1" applyAlignment="1"/>
    <xf numFmtId="0" fontId="25" fillId="0" borderId="20" xfId="0" applyNumberFormat="1" applyFont="1" applyBorder="1" applyAlignment="1">
      <alignment horizontal="left"/>
    </xf>
    <xf numFmtId="0" fontId="34" fillId="0" borderId="20" xfId="0" applyNumberFormat="1" applyFont="1" applyBorder="1" applyAlignment="1">
      <alignment horizontal="left"/>
    </xf>
    <xf numFmtId="0" fontId="25" fillId="0" borderId="20" xfId="0" applyNumberFormat="1" applyFont="1" applyBorder="1" applyAlignment="1">
      <alignment horizontal="center"/>
    </xf>
    <xf numFmtId="0" fontId="25" fillId="0" borderId="20" xfId="0" applyFont="1" applyBorder="1" applyAlignment="1">
      <alignment horizontal="right"/>
    </xf>
    <xf numFmtId="3" fontId="25" fillId="0" borderId="20" xfId="0" applyNumberFormat="1" applyFont="1" applyBorder="1" applyAlignment="1">
      <alignment horizontal="right"/>
    </xf>
    <xf numFmtId="0" fontId="52" fillId="6" borderId="0" xfId="0" applyFont="1" applyFill="1" applyBorder="1" applyAlignment="1">
      <alignment horizontal="center"/>
    </xf>
    <xf numFmtId="0" fontId="58" fillId="0" borderId="0" xfId="0" applyNumberFormat="1" applyFont="1" applyFill="1" applyAlignment="1">
      <alignment horizontal="left"/>
    </xf>
    <xf numFmtId="164" fontId="25" fillId="0" borderId="0" xfId="8" applyNumberFormat="1" applyFont="1" applyFill="1"/>
    <xf numFmtId="171" fontId="25" fillId="0" borderId="12" xfId="13" applyFont="1" applyFill="1" applyBorder="1" applyAlignment="1">
      <alignment vertical="center"/>
    </xf>
    <xf numFmtId="3" fontId="36"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6" fillId="0" borderId="0" xfId="0" applyFont="1" applyAlignment="1">
      <alignment horizontal="center"/>
    </xf>
    <xf numFmtId="172" fontId="25" fillId="2" borderId="0" xfId="0" applyNumberFormat="1" applyFont="1" applyFill="1" applyAlignment="1"/>
    <xf numFmtId="3" fontId="25" fillId="0" borderId="0" xfId="0" quotePrefix="1" applyNumberFormat="1" applyFont="1" applyBorder="1" applyAlignment="1">
      <alignment horizontal="right"/>
    </xf>
    <xf numFmtId="164" fontId="7" fillId="0" borderId="0" xfId="8" applyNumberFormat="1" applyFont="1"/>
    <xf numFmtId="167" fontId="25" fillId="0" borderId="20" xfId="0" applyNumberFormat="1" applyFont="1" applyBorder="1" applyAlignment="1">
      <alignment horizontal="left"/>
    </xf>
    <xf numFmtId="174"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3"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4" fontId="25" fillId="0" borderId="20" xfId="0" applyNumberFormat="1" applyFont="1" applyBorder="1" applyAlignment="1"/>
    <xf numFmtId="0" fontId="54" fillId="0" borderId="14" xfId="0" applyNumberFormat="1" applyFont="1" applyBorder="1" applyAlignment="1">
      <alignment horizontal="center"/>
    </xf>
    <xf numFmtId="0" fontId="54" fillId="0" borderId="15" xfId="0" applyNumberFormat="1" applyFont="1" applyBorder="1" applyAlignment="1">
      <alignment horizontal="center"/>
    </xf>
    <xf numFmtId="0" fontId="54" fillId="0" borderId="15" xfId="0" applyNumberFormat="1" applyFont="1" applyFill="1" applyBorder="1" applyAlignment="1"/>
    <xf numFmtId="0" fontId="54" fillId="0" borderId="15" xfId="0" applyFont="1" applyFill="1" applyBorder="1" applyAlignment="1"/>
    <xf numFmtId="3" fontId="54" fillId="0" borderId="15" xfId="0" applyNumberFormat="1" applyFont="1" applyBorder="1" applyAlignment="1">
      <alignment horizontal="center"/>
    </xf>
    <xf numFmtId="3" fontId="54" fillId="0" borderId="15" xfId="0" applyNumberFormat="1" applyFont="1" applyBorder="1" applyAlignment="1"/>
    <xf numFmtId="0" fontId="54" fillId="0" borderId="15" xfId="0" applyFont="1" applyBorder="1" applyAlignment="1"/>
    <xf numFmtId="3" fontId="25" fillId="0" borderId="15" xfId="0" applyNumberFormat="1" applyFont="1" applyBorder="1"/>
    <xf numFmtId="164" fontId="25" fillId="0" borderId="0" xfId="0" applyNumberFormat="1" applyFont="1"/>
    <xf numFmtId="0" fontId="54" fillId="0" borderId="0" xfId="0" applyNumberFormat="1" applyFont="1" applyBorder="1" applyAlignment="1">
      <alignment horizontal="center"/>
    </xf>
    <xf numFmtId="0" fontId="54" fillId="0" borderId="0" xfId="0" applyNumberFormat="1" applyFont="1" applyFill="1" applyBorder="1" applyAlignment="1"/>
    <xf numFmtId="0" fontId="54" fillId="0" borderId="0" xfId="0" applyFont="1" applyFill="1" applyBorder="1" applyAlignment="1"/>
    <xf numFmtId="3" fontId="54" fillId="0" borderId="0" xfId="0" applyNumberFormat="1" applyFont="1" applyBorder="1" applyAlignment="1">
      <alignment horizontal="center"/>
    </xf>
    <xf numFmtId="0" fontId="54"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4" fillId="0" borderId="12" xfId="0" applyFont="1" applyFill="1" applyBorder="1" applyAlignment="1"/>
    <xf numFmtId="3" fontId="25" fillId="0" borderId="12" xfId="0" applyNumberFormat="1" applyFont="1" applyFill="1" applyBorder="1"/>
    <xf numFmtId="3" fontId="54" fillId="0" borderId="0" xfId="0" applyNumberFormat="1" applyFont="1" applyFill="1" applyBorder="1" applyAlignment="1">
      <alignment horizontal="center"/>
    </xf>
    <xf numFmtId="10" fontId="25" fillId="0" borderId="0" xfId="12" applyNumberFormat="1" applyFont="1" applyFill="1" applyBorder="1"/>
    <xf numFmtId="3" fontId="54"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4" fillId="0" borderId="15" xfId="0" applyNumberFormat="1" applyFont="1" applyBorder="1" applyAlignment="1">
      <alignment horizontal="left"/>
    </xf>
    <xf numFmtId="0" fontId="54" fillId="0" borderId="15" xfId="0" applyFont="1" applyFill="1" applyBorder="1"/>
    <xf numFmtId="0" fontId="54"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50" fillId="0" borderId="0" xfId="0" applyFont="1" applyFill="1" applyBorder="1"/>
    <xf numFmtId="164" fontId="25" fillId="0" borderId="0" xfId="8" applyNumberFormat="1" applyFont="1" applyFill="1" applyBorder="1" applyAlignment="1"/>
    <xf numFmtId="43" fontId="25" fillId="0" borderId="0" xfId="8" applyFont="1" applyAlignment="1"/>
    <xf numFmtId="0" fontId="34" fillId="0" borderId="0" xfId="0" applyFont="1" applyAlignment="1"/>
    <xf numFmtId="164" fontId="34" fillId="2" borderId="0" xfId="8" applyNumberFormat="1" applyFont="1" applyFill="1" applyBorder="1" applyAlignment="1">
      <alignment horizontal="right"/>
    </xf>
    <xf numFmtId="0" fontId="59" fillId="0" borderId="0" xfId="0" applyFont="1" applyFill="1" applyAlignment="1"/>
    <xf numFmtId="0" fontId="38" fillId="0" borderId="0" xfId="0" applyFont="1" applyFill="1" applyBorder="1" applyAlignment="1">
      <alignment horizontal="center"/>
    </xf>
    <xf numFmtId="37" fontId="34" fillId="0" borderId="0" xfId="0" applyNumberFormat="1" applyFont="1" applyBorder="1" applyAlignment="1">
      <alignment horizontal="left"/>
    </xf>
    <xf numFmtId="37" fontId="34" fillId="0" borderId="0" xfId="0" applyNumberFormat="1" applyFont="1" applyBorder="1" applyAlignment="1">
      <alignment horizontal="right"/>
    </xf>
    <xf numFmtId="0" fontId="38" fillId="0" borderId="0" xfId="0" applyFont="1" applyBorder="1" applyAlignment="1">
      <alignment horizontal="center"/>
    </xf>
    <xf numFmtId="37" fontId="25" fillId="0" borderId="15" xfId="0" applyNumberFormat="1" applyFont="1" applyBorder="1" applyAlignment="1">
      <alignment horizontal="center"/>
    </xf>
    <xf numFmtId="0" fontId="60" fillId="0" borderId="0" xfId="0" applyFont="1" applyAlignment="1">
      <alignment horizontal="left"/>
    </xf>
    <xf numFmtId="0" fontId="34" fillId="0" borderId="0" xfId="0" applyFont="1" applyBorder="1" applyAlignment="1"/>
    <xf numFmtId="0" fontId="39" fillId="0" borderId="0" xfId="0" applyFont="1" applyBorder="1" applyAlignment="1">
      <alignment horizontal="center"/>
    </xf>
    <xf numFmtId="37" fontId="31"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1" fillId="0" borderId="0" xfId="0" applyNumberFormat="1" applyFont="1" applyFill="1" applyBorder="1" applyAlignment="1">
      <alignment horizontal="left"/>
    </xf>
    <xf numFmtId="0" fontId="7" fillId="0" borderId="0" xfId="0" applyNumberFormat="1" applyFont="1" applyBorder="1" applyAlignment="1">
      <alignment horizontal="center"/>
    </xf>
    <xf numFmtId="0" fontId="51"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80"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8" fillId="0" borderId="0" xfId="22" applyFont="1"/>
    <xf numFmtId="0" fontId="11" fillId="0" borderId="0" xfId="7" applyFont="1" applyBorder="1"/>
    <xf numFmtId="0" fontId="9" fillId="0" borderId="0" xfId="7" applyFont="1" applyBorder="1"/>
    <xf numFmtId="0" fontId="8" fillId="0" borderId="0" xfId="7" applyFont="1"/>
    <xf numFmtId="0" fontId="9" fillId="0" borderId="0" xfId="22"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47" fillId="0" borderId="0" xfId="23" applyFont="1"/>
    <xf numFmtId="181" fontId="64" fillId="8" borderId="0" xfId="22" applyNumberFormat="1" applyFill="1" applyBorder="1"/>
    <xf numFmtId="181" fontId="63" fillId="0" borderId="0" xfId="8" applyNumberFormat="1" applyFont="1" applyAlignment="1">
      <alignment horizontal="center"/>
    </xf>
    <xf numFmtId="181" fontId="0" fillId="0" borderId="0" xfId="10" applyNumberFormat="1" applyFont="1" applyBorder="1"/>
    <xf numFmtId="181" fontId="64" fillId="8" borderId="0" xfId="22" applyNumberFormat="1" applyFill="1"/>
    <xf numFmtId="181" fontId="47" fillId="0" borderId="0" xfId="24" applyNumberFormat="1" applyFont="1" applyBorder="1"/>
    <xf numFmtId="181" fontId="65" fillId="8" borderId="0" xfId="25" applyNumberFormat="1" applyFont="1" applyFill="1"/>
    <xf numFmtId="181" fontId="47" fillId="0" borderId="0" xfId="26" applyNumberFormat="1" applyFont="1" applyBorder="1"/>
    <xf numFmtId="181" fontId="47" fillId="8" borderId="0" xfId="25" applyNumberFormat="1" applyFont="1" applyFill="1"/>
    <xf numFmtId="181" fontId="47" fillId="8" borderId="0" xfId="25" applyNumberFormat="1" applyFont="1" applyFill="1" applyBorder="1"/>
    <xf numFmtId="181" fontId="0" fillId="0" borderId="0" xfId="8" applyNumberFormat="1" applyFont="1" applyBorder="1"/>
    <xf numFmtId="181" fontId="64" fillId="0" borderId="0" xfId="22" applyNumberFormat="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2" applyNumberFormat="1" applyFont="1"/>
    <xf numFmtId="166" fontId="66"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0" fontId="68" fillId="0" borderId="0" xfId="27" applyNumberFormat="1" applyFont="1" applyFill="1" applyAlignment="1">
      <alignment horizontal="center"/>
    </xf>
    <xf numFmtId="168" fontId="69" fillId="0" borderId="0" xfId="27" applyFont="1" applyFill="1" applyAlignment="1"/>
    <xf numFmtId="0" fontId="69" fillId="0" borderId="0" xfId="28" applyFont="1" applyFill="1"/>
    <xf numFmtId="0" fontId="69" fillId="0" borderId="0" xfId="29" applyNumberFormat="1" applyFont="1" applyFill="1" applyBorder="1" applyAlignment="1" applyProtection="1">
      <alignment horizontal="center"/>
      <protection locked="0"/>
    </xf>
    <xf numFmtId="0" fontId="69" fillId="0" borderId="0" xfId="28" applyFont="1" applyFill="1" applyAlignment="1">
      <alignment horizontal="right"/>
    </xf>
    <xf numFmtId="0" fontId="69" fillId="0" borderId="0" xfId="27" applyNumberFormat="1" applyFont="1" applyFill="1" applyAlignment="1">
      <alignment horizontal="center"/>
    </xf>
    <xf numFmtId="0" fontId="69" fillId="0" borderId="0" xfId="28" applyFont="1" applyFill="1" applyAlignment="1">
      <alignment horizontal="center"/>
    </xf>
    <xf numFmtId="168" fontId="69" fillId="0" borderId="0" xfId="27" applyFont="1" applyFill="1" applyAlignment="1">
      <alignment horizontal="right"/>
    </xf>
    <xf numFmtId="0" fontId="69" fillId="0" borderId="0" xfId="30" applyNumberFormat="1" applyFont="1" applyFill="1" applyAlignment="1">
      <alignment horizontal="center"/>
    </xf>
    <xf numFmtId="0" fontId="70" fillId="0" borderId="0" xfId="28" applyFont="1" applyFill="1" applyAlignment="1">
      <alignment horizontal="centerContinuous"/>
    </xf>
    <xf numFmtId="0" fontId="70" fillId="0" borderId="0" xfId="28" applyFont="1" applyFill="1" applyAlignment="1">
      <alignment horizontal="center"/>
    </xf>
    <xf numFmtId="0" fontId="69" fillId="0" borderId="0" xfId="27" applyNumberFormat="1" applyFont="1" applyFill="1" applyAlignment="1">
      <alignment horizontal="center" wrapText="1"/>
    </xf>
    <xf numFmtId="0" fontId="70" fillId="0" borderId="0" xfId="28" applyFont="1" applyFill="1" applyAlignment="1">
      <alignment horizontal="center" wrapText="1"/>
    </xf>
    <xf numFmtId="168" fontId="70" fillId="0" borderId="0" xfId="27" applyFont="1" applyFill="1" applyAlignment="1">
      <alignment horizontal="center" wrapText="1"/>
    </xf>
    <xf numFmtId="168" fontId="69" fillId="0" borderId="0" xfId="27" applyFont="1" applyFill="1" applyAlignment="1">
      <alignment wrapText="1"/>
    </xf>
    <xf numFmtId="0" fontId="70" fillId="0" borderId="0" xfId="31" applyFont="1" applyFill="1" applyBorder="1" applyAlignment="1">
      <alignment horizontal="center" wrapText="1"/>
    </xf>
    <xf numFmtId="168" fontId="68" fillId="0" borderId="0" xfId="27" applyFont="1" applyFill="1" applyAlignment="1"/>
    <xf numFmtId="0" fontId="69" fillId="0" borderId="0" xfId="32" applyFont="1" applyFill="1" applyAlignment="1">
      <alignment horizontal="left" wrapText="1"/>
    </xf>
    <xf numFmtId="37" fontId="69" fillId="0" borderId="0" xfId="8" applyNumberFormat="1" applyFont="1" applyFill="1" applyAlignment="1">
      <alignment horizontal="center"/>
    </xf>
    <xf numFmtId="37" fontId="69" fillId="0" borderId="0" xfId="8" applyNumberFormat="1" applyFont="1" applyFill="1" applyAlignment="1">
      <alignment horizontal="center" wrapText="1"/>
    </xf>
    <xf numFmtId="3" fontId="69" fillId="0" borderId="0" xfId="33" applyNumberFormat="1" applyFont="1" applyFill="1" applyAlignment="1">
      <alignment horizontal="left" wrapText="1"/>
    </xf>
    <xf numFmtId="3" fontId="69" fillId="0" borderId="0" xfId="33" applyNumberFormat="1" applyFont="1" applyFill="1" applyAlignment="1">
      <alignment wrapText="1"/>
    </xf>
    <xf numFmtId="3" fontId="69" fillId="0" borderId="0" xfId="33" applyNumberFormat="1" applyFont="1" applyFill="1" applyAlignment="1">
      <alignment horizontal="center" wrapText="1"/>
    </xf>
    <xf numFmtId="0" fontId="69" fillId="0" borderId="0" xfId="28" quotePrefix="1" applyFont="1" applyFill="1" applyAlignment="1">
      <alignment horizontal="left"/>
    </xf>
    <xf numFmtId="41" fontId="69" fillId="10" borderId="0" xfId="28" applyNumberFormat="1" applyFont="1" applyFill="1"/>
    <xf numFmtId="164" fontId="69" fillId="10" borderId="0" xfId="8" applyNumberFormat="1" applyFont="1" applyFill="1"/>
    <xf numFmtId="164" fontId="69" fillId="0" borderId="20" xfId="8" applyNumberFormat="1" applyFont="1" applyFill="1" applyBorder="1"/>
    <xf numFmtId="37" fontId="69" fillId="0" borderId="0" xfId="28" applyNumberFormat="1" applyFont="1" applyFill="1"/>
    <xf numFmtId="168" fontId="69" fillId="0" borderId="0" xfId="34" applyFont="1" applyFill="1" applyAlignment="1"/>
    <xf numFmtId="0" fontId="70" fillId="0" borderId="0" xfId="28" applyFont="1" applyFill="1" applyAlignment="1">
      <alignment horizontal="centerContinuous" wrapText="1"/>
    </xf>
    <xf numFmtId="168" fontId="70" fillId="0" borderId="0" xfId="27" applyFont="1" applyFill="1" applyAlignment="1">
      <alignment horizontal="center"/>
    </xf>
    <xf numFmtId="0" fontId="69" fillId="0" borderId="0" xfId="31" applyFont="1" applyFill="1" applyBorder="1" applyAlignment="1">
      <alignment horizontal="center" wrapText="1"/>
    </xf>
    <xf numFmtId="168" fontId="69" fillId="0" borderId="0" xfId="27" applyFont="1" applyFill="1" applyAlignment="1">
      <alignment horizontal="center"/>
    </xf>
    <xf numFmtId="41" fontId="71" fillId="11" borderId="0" xfId="28" applyNumberFormat="1" applyFont="1" applyFill="1"/>
    <xf numFmtId="0" fontId="69" fillId="0" borderId="0" xfId="28" applyFont="1" applyFill="1" applyAlignment="1">
      <alignment horizontal="left"/>
    </xf>
    <xf numFmtId="43" fontId="69" fillId="0" borderId="20" xfId="8" applyFont="1" applyFill="1" applyBorder="1"/>
    <xf numFmtId="164" fontId="69" fillId="10" borderId="0" xfId="8" applyNumberFormat="1" applyFont="1" applyFill="1" applyBorder="1"/>
    <xf numFmtId="43" fontId="69" fillId="0" borderId="0" xfId="8" applyFont="1" applyFill="1" applyBorder="1" applyAlignment="1">
      <alignment horizontal="center"/>
    </xf>
    <xf numFmtId="164" fontId="69" fillId="0" borderId="0" xfId="8" applyNumberFormat="1" applyFont="1" applyFill="1" applyBorder="1"/>
    <xf numFmtId="164" fontId="69" fillId="0" borderId="0" xfId="8" applyNumberFormat="1" applyFont="1" applyFill="1" applyBorder="1" applyAlignment="1">
      <alignment horizontal="center"/>
    </xf>
    <xf numFmtId="0" fontId="72" fillId="0" borderId="0" xfId="27" applyNumberFormat="1" applyFont="1" applyFill="1" applyAlignment="1">
      <alignment horizontal="center"/>
    </xf>
    <xf numFmtId="168" fontId="72" fillId="0" borderId="0" xfId="27" applyFont="1" applyFill="1" applyAlignment="1">
      <alignment horizontal="center"/>
    </xf>
    <xf numFmtId="44" fontId="72" fillId="0" borderId="0" xfId="27" applyNumberFormat="1" applyFont="1" applyFill="1" applyBorder="1" applyAlignment="1"/>
    <xf numFmtId="168" fontId="69" fillId="0" borderId="0" xfId="27" applyFont="1" applyFill="1" applyAlignment="1">
      <alignment vertical="center" wrapText="1"/>
    </xf>
    <xf numFmtId="168" fontId="69" fillId="0" borderId="0" xfId="27" applyFont="1" applyFill="1" applyAlignment="1">
      <alignment horizontal="left" vertical="center"/>
    </xf>
    <xf numFmtId="168" fontId="69" fillId="0" borderId="0" xfId="27" applyFont="1" applyFill="1" applyAlignment="1">
      <alignment horizontal="left" vertical="center" wrapText="1"/>
    </xf>
    <xf numFmtId="0" fontId="69" fillId="0" borderId="0" xfId="27" applyNumberFormat="1" applyFont="1" applyFill="1" applyAlignment="1">
      <alignment horizontal="center" vertical="top"/>
    </xf>
    <xf numFmtId="0" fontId="69" fillId="0" borderId="0" xfId="33" applyNumberFormat="1" applyFont="1" applyFill="1" applyAlignment="1">
      <alignment vertical="top" wrapText="1"/>
    </xf>
    <xf numFmtId="0" fontId="69" fillId="0" borderId="0" xfId="27" applyNumberFormat="1" applyFont="1" applyFill="1" applyBorder="1" applyAlignment="1">
      <alignment vertical="top"/>
    </xf>
    <xf numFmtId="0" fontId="73" fillId="0" borderId="0" xfId="36" applyFont="1" applyFill="1" applyAlignment="1">
      <alignment horizontal="center"/>
    </xf>
    <xf numFmtId="0" fontId="73" fillId="0" borderId="0" xfId="36" applyFont="1" applyFill="1"/>
    <xf numFmtId="0" fontId="70" fillId="0" borderId="0" xfId="29" applyNumberFormat="1" applyFont="1" applyFill="1" applyBorder="1" applyAlignment="1" applyProtection="1">
      <alignment horizontal="center"/>
      <protection locked="0"/>
    </xf>
    <xf numFmtId="0" fontId="74" fillId="0" borderId="0" xfId="36" applyFont="1" applyFill="1" applyAlignment="1">
      <alignment horizontal="center"/>
    </xf>
    <xf numFmtId="168" fontId="69" fillId="0" borderId="0" xfId="27" applyFont="1" applyFill="1" applyAlignment="1">
      <alignment horizontal="left" vertical="center" wrapText="1"/>
    </xf>
    <xf numFmtId="168" fontId="33" fillId="0" borderId="0" xfId="37" applyFill="1" applyAlignment="1"/>
    <xf numFmtId="168" fontId="33" fillId="0" borderId="0" xfId="37"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70" fillId="0" borderId="0" xfId="28" quotePrefix="1" applyFont="1" applyFill="1" applyAlignment="1">
      <alignment horizontal="left"/>
    </xf>
    <xf numFmtId="0" fontId="69" fillId="10" borderId="0" xfId="28" quotePrefix="1" applyFont="1" applyFill="1" applyAlignment="1">
      <alignment horizontal="left"/>
    </xf>
    <xf numFmtId="168" fontId="33" fillId="10" borderId="0" xfId="37" applyFill="1" applyAlignment="1"/>
    <xf numFmtId="0" fontId="69" fillId="0" borderId="0" xfId="28" quotePrefix="1" applyFont="1" applyFill="1" applyAlignment="1">
      <alignment horizontal="center"/>
    </xf>
    <xf numFmtId="0" fontId="69" fillId="10" borderId="0" xfId="28" quotePrefix="1" applyFont="1" applyFill="1" applyAlignment="1">
      <alignment horizontal="center"/>
    </xf>
    <xf numFmtId="166" fontId="69" fillId="0" borderId="0" xfId="10" quotePrefix="1" applyNumberFormat="1" applyFont="1" applyFill="1" applyAlignment="1">
      <alignment horizontal="left"/>
    </xf>
    <xf numFmtId="164" fontId="69" fillId="10" borderId="0" xfId="8" quotePrefix="1" applyNumberFormat="1" applyFont="1" applyFill="1" applyAlignment="1">
      <alignment horizontal="left"/>
    </xf>
    <xf numFmtId="39" fontId="69" fillId="10" borderId="0" xfId="8" quotePrefix="1" applyNumberFormat="1" applyFont="1" applyFill="1" applyAlignment="1">
      <alignment horizontal="left"/>
    </xf>
    <xf numFmtId="164" fontId="69" fillId="0" borderId="0" xfId="8" quotePrefix="1" applyNumberFormat="1" applyFont="1" applyFill="1" applyAlignment="1">
      <alignment horizontal="left"/>
    </xf>
    <xf numFmtId="164" fontId="69" fillId="10" borderId="0" xfId="28" applyNumberFormat="1" applyFont="1" applyFill="1"/>
    <xf numFmtId="166" fontId="69" fillId="10" borderId="0" xfId="48" quotePrefix="1" applyNumberFormat="1" applyFont="1" applyFill="1" applyAlignment="1">
      <alignment horizontal="center"/>
    </xf>
    <xf numFmtId="168" fontId="69" fillId="0" borderId="0" xfId="29" applyFont="1" applyFill="1" applyBorder="1" applyAlignment="1"/>
    <xf numFmtId="168" fontId="69" fillId="0" borderId="0" xfId="29" applyFont="1" applyFill="1" applyBorder="1" applyAlignment="1">
      <alignment horizontal="right"/>
    </xf>
    <xf numFmtId="164" fontId="69" fillId="0" borderId="0" xfId="8" applyNumberFormat="1" applyFont="1" applyFill="1" applyBorder="1" applyAlignment="1"/>
    <xf numFmtId="0" fontId="69" fillId="0" borderId="0" xfId="29" applyNumberFormat="1" applyFont="1" applyFill="1" applyBorder="1" applyAlignment="1" applyProtection="1">
      <protection locked="0"/>
    </xf>
    <xf numFmtId="0" fontId="69" fillId="0" borderId="0" xfId="29" applyNumberFormat="1" applyFont="1" applyFill="1" applyBorder="1" applyProtection="1">
      <protection locked="0"/>
    </xf>
    <xf numFmtId="0" fontId="69" fillId="0" borderId="0" xfId="33" applyFont="1" applyFill="1"/>
    <xf numFmtId="0" fontId="69" fillId="0" borderId="0" xfId="29" applyNumberFormat="1" applyFont="1" applyFill="1" applyAlignment="1">
      <alignment horizontal="right"/>
    </xf>
    <xf numFmtId="0" fontId="69" fillId="0" borderId="0" xfId="29" applyNumberFormat="1" applyFont="1" applyFill="1" applyBorder="1"/>
    <xf numFmtId="164" fontId="75" fillId="0" borderId="0" xfId="8" applyNumberFormat="1" applyFont="1" applyFill="1" applyBorder="1"/>
    <xf numFmtId="3" fontId="69" fillId="0" borderId="0" xfId="29" applyNumberFormat="1" applyFont="1" applyFill="1" applyBorder="1" applyAlignment="1"/>
    <xf numFmtId="0" fontId="75" fillId="0" borderId="0" xfId="29" applyNumberFormat="1" applyFont="1" applyFill="1" applyBorder="1" applyAlignment="1">
      <alignment horizontal="center"/>
    </xf>
    <xf numFmtId="0" fontId="75" fillId="0" borderId="0" xfId="29" applyNumberFormat="1" applyFont="1" applyFill="1" applyBorder="1"/>
    <xf numFmtId="49" fontId="69" fillId="0" borderId="0" xfId="29" applyNumberFormat="1" applyFont="1" applyFill="1" applyBorder="1"/>
    <xf numFmtId="3" fontId="69" fillId="0" borderId="0" xfId="29" applyNumberFormat="1" applyFont="1" applyFill="1" applyBorder="1"/>
    <xf numFmtId="0" fontId="69" fillId="0" borderId="0" xfId="29" applyNumberFormat="1" applyFont="1" applyFill="1" applyBorder="1" applyAlignment="1">
      <alignment horizontal="center"/>
    </xf>
    <xf numFmtId="49" fontId="69" fillId="0" borderId="0" xfId="29" applyNumberFormat="1" applyFont="1" applyFill="1" applyBorder="1" applyAlignment="1">
      <alignment horizontal="center"/>
    </xf>
    <xf numFmtId="0" fontId="69" fillId="0" borderId="0" xfId="29" applyNumberFormat="1" applyFont="1" applyFill="1" applyBorder="1" applyAlignment="1"/>
    <xf numFmtId="3" fontId="70" fillId="0" borderId="0" xfId="29" applyNumberFormat="1" applyFont="1" applyFill="1" applyBorder="1" applyAlignment="1">
      <alignment horizontal="center"/>
    </xf>
    <xf numFmtId="168" fontId="70" fillId="0" borderId="0" xfId="29" applyFont="1" applyFill="1" applyBorder="1" applyAlignment="1">
      <alignment horizontal="center"/>
    </xf>
    <xf numFmtId="0" fontId="70" fillId="0" borderId="0" xfId="29" applyNumberFormat="1" applyFont="1" applyFill="1" applyBorder="1" applyAlignment="1">
      <alignment horizontal="center"/>
    </xf>
    <xf numFmtId="0" fontId="70" fillId="0" borderId="0" xfId="29" applyNumberFormat="1" applyFont="1" applyFill="1" applyBorder="1" applyAlignment="1"/>
    <xf numFmtId="0" fontId="76" fillId="0" borderId="0" xfId="29" applyNumberFormat="1" applyFont="1" applyFill="1" applyBorder="1" applyAlignment="1" applyProtection="1">
      <alignment horizontal="center"/>
      <protection locked="0"/>
    </xf>
    <xf numFmtId="3" fontId="69" fillId="0" borderId="0" xfId="29" applyNumberFormat="1" applyFont="1" applyFill="1" applyBorder="1" applyAlignment="1">
      <alignment horizontal="center"/>
    </xf>
    <xf numFmtId="3" fontId="69" fillId="0" borderId="0" xfId="29" applyNumberFormat="1" applyFont="1" applyFill="1" applyBorder="1" applyAlignment="1">
      <alignment horizontal="left"/>
    </xf>
    <xf numFmtId="10" fontId="77" fillId="0" borderId="0" xfId="12" applyNumberFormat="1" applyFont="1" applyFill="1" applyBorder="1" applyAlignment="1"/>
    <xf numFmtId="10" fontId="70" fillId="0" borderId="0" xfId="29" applyNumberFormat="1" applyFont="1" applyFill="1" applyBorder="1" applyAlignment="1"/>
    <xf numFmtId="3" fontId="70" fillId="0" borderId="0" xfId="29" applyNumberFormat="1" applyFont="1" applyFill="1" applyBorder="1" applyAlignment="1"/>
    <xf numFmtId="183" fontId="70" fillId="0" borderId="0" xfId="29" applyNumberFormat="1" applyFont="1" applyFill="1" applyBorder="1" applyAlignment="1"/>
    <xf numFmtId="10" fontId="69" fillId="0" borderId="0" xfId="29" applyNumberFormat="1" applyFont="1" applyFill="1" applyBorder="1" applyAlignment="1"/>
    <xf numFmtId="168" fontId="69" fillId="0" borderId="0" xfId="29" applyFont="1" applyFill="1" applyBorder="1" applyAlignment="1">
      <alignment horizontal="left"/>
    </xf>
    <xf numFmtId="168" fontId="69" fillId="0" borderId="0" xfId="29" applyFont="1" applyFill="1" applyBorder="1" applyAlignment="1">
      <alignment horizontal="center"/>
    </xf>
    <xf numFmtId="43" fontId="69" fillId="0" borderId="0" xfId="8" applyFont="1" applyFill="1" applyBorder="1" applyAlignment="1"/>
    <xf numFmtId="49" fontId="70" fillId="0" borderId="0" xfId="29" applyNumberFormat="1" applyFont="1" applyFill="1" applyBorder="1" applyAlignment="1">
      <alignment horizontal="center"/>
    </xf>
    <xf numFmtId="168" fontId="70" fillId="0" borderId="0" xfId="29" applyFont="1" applyFill="1" applyBorder="1" applyAlignment="1"/>
    <xf numFmtId="3" fontId="70" fillId="0" borderId="0" xfId="29" applyNumberFormat="1" applyFont="1" applyFill="1" applyBorder="1" applyAlignment="1">
      <alignment horizontal="left"/>
    </xf>
    <xf numFmtId="10" fontId="70" fillId="0" borderId="0" xfId="12" applyNumberFormat="1" applyFont="1" applyFill="1" applyBorder="1" applyAlignment="1"/>
    <xf numFmtId="0" fontId="69" fillId="0" borderId="0" xfId="29" applyNumberFormat="1" applyFont="1" applyFill="1" applyBorder="1" applyAlignment="1">
      <alignment horizontal="fill"/>
    </xf>
    <xf numFmtId="168" fontId="78" fillId="0" borderId="0" xfId="29" applyFont="1" applyFill="1" applyBorder="1" applyAlignment="1"/>
    <xf numFmtId="3" fontId="78" fillId="0" borderId="0" xfId="29" applyNumberFormat="1" applyFont="1" applyFill="1" applyBorder="1" applyAlignment="1"/>
    <xf numFmtId="167" fontId="69" fillId="0" borderId="0" xfId="29" applyNumberFormat="1" applyFont="1" applyFill="1" applyBorder="1" applyAlignment="1">
      <alignment horizontal="left"/>
    </xf>
    <xf numFmtId="167" fontId="69" fillId="0" borderId="0" xfId="29" applyNumberFormat="1" applyFont="1" applyFill="1" applyBorder="1" applyAlignment="1">
      <alignment horizontal="center"/>
    </xf>
    <xf numFmtId="184" fontId="69" fillId="0" borderId="0" xfId="29" applyNumberFormat="1" applyFont="1" applyFill="1" applyBorder="1" applyAlignment="1"/>
    <xf numFmtId="0" fontId="78" fillId="0" borderId="0" xfId="29" applyNumberFormat="1" applyFont="1" applyFill="1" applyBorder="1"/>
    <xf numFmtId="49" fontId="69" fillId="0" borderId="0" xfId="29" applyNumberFormat="1" applyFont="1" applyFill="1" applyBorder="1" applyAlignment="1">
      <alignment horizontal="left"/>
    </xf>
    <xf numFmtId="0" fontId="69" fillId="0" borderId="0" xfId="29" applyNumberFormat="1" applyFont="1" applyFill="1" applyBorder="1" applyAlignment="1">
      <alignment horizontal="right"/>
    </xf>
    <xf numFmtId="182" fontId="70" fillId="0" borderId="0" xfId="29" applyNumberFormat="1" applyFont="1" applyFill="1" applyBorder="1" applyAlignment="1">
      <alignment horizontal="center"/>
    </xf>
    <xf numFmtId="182" fontId="70" fillId="0" borderId="0" xfId="29" quotePrefix="1" applyNumberFormat="1" applyFont="1" applyFill="1" applyBorder="1" applyAlignment="1">
      <alignment horizontal="center"/>
    </xf>
    <xf numFmtId="168" fontId="70" fillId="0" borderId="22" xfId="29" applyFont="1" applyFill="1" applyBorder="1" applyAlignment="1">
      <alignment horizontal="center" wrapText="1"/>
    </xf>
    <xf numFmtId="168" fontId="70" fillId="0" borderId="21" xfId="29" applyFont="1" applyFill="1" applyBorder="1" applyAlignment="1"/>
    <xf numFmtId="0" fontId="70" fillId="0" borderId="21" xfId="29" applyNumberFormat="1" applyFont="1" applyFill="1" applyBorder="1" applyAlignment="1">
      <alignment horizontal="center" wrapText="1"/>
    </xf>
    <xf numFmtId="168" fontId="70" fillId="0" borderId="23" xfId="29" applyFont="1" applyFill="1" applyBorder="1" applyAlignment="1">
      <alignment horizontal="center" wrapText="1"/>
    </xf>
    <xf numFmtId="3" fontId="70" fillId="0" borderId="23" xfId="29" applyNumberFormat="1" applyFont="1" applyFill="1" applyBorder="1" applyAlignment="1">
      <alignment horizontal="center" wrapText="1"/>
    </xf>
    <xf numFmtId="0" fontId="69" fillId="0" borderId="22" xfId="29" applyNumberFormat="1" applyFont="1" applyFill="1" applyBorder="1"/>
    <xf numFmtId="0" fontId="69" fillId="0" borderId="21" xfId="29" applyNumberFormat="1" applyFont="1" applyFill="1" applyBorder="1"/>
    <xf numFmtId="0" fontId="69" fillId="0" borderId="21" xfId="29" applyNumberFormat="1" applyFont="1" applyFill="1" applyBorder="1" applyAlignment="1">
      <alignment horizontal="center"/>
    </xf>
    <xf numFmtId="0" fontId="69" fillId="0" borderId="23" xfId="29" applyNumberFormat="1" applyFont="1" applyFill="1" applyBorder="1" applyAlignment="1">
      <alignment horizontal="center"/>
    </xf>
    <xf numFmtId="0" fontId="69" fillId="0" borderId="23" xfId="29" applyNumberFormat="1" applyFont="1" applyFill="1" applyBorder="1" applyAlignment="1">
      <alignment horizontal="center" wrapText="1"/>
    </xf>
    <xf numFmtId="3" fontId="69" fillId="0" borderId="23" xfId="29" applyNumberFormat="1" applyFont="1" applyFill="1" applyBorder="1" applyAlignment="1">
      <alignment horizontal="center" wrapText="1"/>
    </xf>
    <xf numFmtId="3" fontId="69" fillId="0" borderId="21" xfId="29" applyNumberFormat="1" applyFont="1" applyFill="1" applyBorder="1" applyAlignment="1">
      <alignment horizontal="center"/>
    </xf>
    <xf numFmtId="0" fontId="69" fillId="0" borderId="31" xfId="29" applyNumberFormat="1" applyFont="1" applyFill="1" applyBorder="1"/>
    <xf numFmtId="0" fontId="69" fillId="0" borderId="27" xfId="29" applyNumberFormat="1" applyFont="1" applyFill="1" applyBorder="1"/>
    <xf numFmtId="0" fontId="69" fillId="0" borderId="29" xfId="29" applyNumberFormat="1" applyFont="1" applyFill="1" applyBorder="1"/>
    <xf numFmtId="3" fontId="69" fillId="0" borderId="27" xfId="29" applyNumberFormat="1" applyFont="1" applyFill="1" applyBorder="1" applyAlignment="1"/>
    <xf numFmtId="168" fontId="69" fillId="0" borderId="31" xfId="52" applyFont="1" applyFill="1" applyBorder="1" applyAlignment="1"/>
    <xf numFmtId="168" fontId="69" fillId="0" borderId="0" xfId="52" applyFont="1" applyFill="1" applyBorder="1" applyAlignment="1"/>
    <xf numFmtId="43" fontId="69" fillId="0" borderId="27" xfId="8" applyFont="1" applyFill="1" applyBorder="1" applyAlignment="1"/>
    <xf numFmtId="164" fontId="69" fillId="0" borderId="27" xfId="8" applyNumberFormat="1" applyFont="1" applyFill="1" applyBorder="1" applyAlignment="1"/>
    <xf numFmtId="168" fontId="69" fillId="10" borderId="0" xfId="52" applyFont="1" applyFill="1" applyBorder="1" applyAlignment="1"/>
    <xf numFmtId="0" fontId="69" fillId="10" borderId="0" xfId="8" applyNumberFormat="1" applyFont="1" applyFill="1" applyBorder="1" applyAlignment="1">
      <alignment horizontal="left"/>
    </xf>
    <xf numFmtId="166" fontId="69" fillId="10" borderId="0" xfId="10" applyNumberFormat="1" applyFont="1" applyFill="1" applyBorder="1" applyAlignment="1"/>
    <xf numFmtId="164" fontId="69" fillId="10" borderId="0" xfId="8" applyNumberFormat="1" applyFont="1" applyFill="1" applyBorder="1" applyAlignment="1"/>
    <xf numFmtId="164" fontId="69" fillId="10" borderId="31" xfId="8" applyNumberFormat="1" applyFont="1" applyFill="1" applyBorder="1" applyAlignment="1"/>
    <xf numFmtId="168" fontId="69" fillId="10" borderId="0" xfId="29" applyFont="1" applyFill="1" applyBorder="1" applyAlignment="1">
      <alignment horizontal="left"/>
    </xf>
    <xf numFmtId="166" fontId="71" fillId="10" borderId="0" xfId="10" applyNumberFormat="1" applyFont="1" applyFill="1" applyBorder="1" applyAlignment="1"/>
    <xf numFmtId="164" fontId="71" fillId="10" borderId="0" xfId="8" applyNumberFormat="1" applyFont="1" applyFill="1" applyBorder="1" applyAlignment="1"/>
    <xf numFmtId="168" fontId="69" fillId="0" borderId="31" xfId="29" applyFont="1" applyFill="1" applyBorder="1" applyAlignment="1"/>
    <xf numFmtId="168" fontId="69" fillId="10" borderId="0" xfId="29" applyFont="1" applyFill="1" applyBorder="1" applyAlignment="1"/>
    <xf numFmtId="168" fontId="69" fillId="0" borderId="32" xfId="29" applyFont="1" applyFill="1" applyBorder="1" applyAlignment="1"/>
    <xf numFmtId="168" fontId="69" fillId="0" borderId="12" xfId="29" applyFont="1" applyFill="1" applyBorder="1" applyAlignment="1"/>
    <xf numFmtId="168" fontId="69" fillId="10" borderId="12" xfId="29" applyFont="1" applyFill="1" applyBorder="1" applyAlignment="1"/>
    <xf numFmtId="168" fontId="69" fillId="0" borderId="25" xfId="29" applyFont="1" applyFill="1" applyBorder="1" applyAlignment="1"/>
    <xf numFmtId="164" fontId="69" fillId="0" borderId="25" xfId="8" applyNumberFormat="1" applyFont="1" applyFill="1" applyBorder="1" applyAlignment="1"/>
    <xf numFmtId="164" fontId="69" fillId="10" borderId="12" xfId="8" applyNumberFormat="1" applyFont="1" applyFill="1" applyBorder="1" applyAlignment="1"/>
    <xf numFmtId="164" fontId="72" fillId="10" borderId="32" xfId="8" applyNumberFormat="1" applyFont="1" applyFill="1" applyBorder="1" applyAlignment="1"/>
    <xf numFmtId="164" fontId="72" fillId="0" borderId="25" xfId="8" applyNumberFormat="1" applyFont="1" applyFill="1" applyBorder="1" applyAlignment="1"/>
    <xf numFmtId="1" fontId="69" fillId="0" borderId="0" xfId="8" applyNumberFormat="1" applyFont="1" applyFill="1" applyBorder="1" applyAlignment="1">
      <alignment horizontal="center"/>
    </xf>
    <xf numFmtId="168" fontId="69" fillId="0" borderId="1" xfId="29" applyFont="1" applyFill="1" applyBorder="1" applyAlignment="1"/>
    <xf numFmtId="168" fontId="69" fillId="0" borderId="0" xfId="29" applyFont="1" applyFill="1" applyBorder="1" applyAlignment="1">
      <alignment horizontal="center" vertical="top"/>
    </xf>
    <xf numFmtId="168" fontId="69" fillId="0" borderId="0" xfId="37" applyFont="1" applyFill="1" applyAlignment="1"/>
    <xf numFmtId="168" fontId="79" fillId="0" borderId="0" xfId="29" applyFont="1" applyFill="1" applyBorder="1" applyAlignment="1"/>
    <xf numFmtId="0" fontId="69" fillId="0" borderId="0" xfId="8" applyNumberFormat="1" applyFont="1" applyFill="1" applyBorder="1" applyAlignment="1">
      <alignment horizontal="center"/>
    </xf>
    <xf numFmtId="0" fontId="69"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69" fillId="0" borderId="0" xfId="8" applyNumberFormat="1" applyFont="1" applyFill="1" applyAlignment="1">
      <alignment horizontal="center"/>
    </xf>
    <xf numFmtId="168" fontId="69" fillId="0" borderId="0" xfId="37" applyFont="1" applyFill="1"/>
    <xf numFmtId="168" fontId="69" fillId="0" borderId="0" xfId="37" applyFont="1" applyFill="1" applyAlignment="1">
      <alignment horizontal="center"/>
    </xf>
    <xf numFmtId="168" fontId="69" fillId="0" borderId="29" xfId="37" applyFont="1" applyFill="1" applyBorder="1"/>
    <xf numFmtId="168" fontId="69" fillId="0" borderId="33" xfId="37" applyFont="1" applyFill="1" applyBorder="1" applyAlignment="1">
      <alignment horizontal="center"/>
    </xf>
    <xf numFmtId="168" fontId="69" fillId="0" borderId="19" xfId="37" applyFont="1" applyFill="1" applyBorder="1"/>
    <xf numFmtId="168" fontId="69" fillId="0" borderId="30" xfId="37" applyFont="1" applyFill="1" applyBorder="1"/>
    <xf numFmtId="168" fontId="69" fillId="0" borderId="32" xfId="37" applyFont="1" applyFill="1" applyBorder="1" applyAlignment="1"/>
    <xf numFmtId="168" fontId="69" fillId="0" borderId="25" xfId="37" applyFont="1" applyFill="1" applyBorder="1" applyAlignment="1">
      <alignment horizontal="center"/>
    </xf>
    <xf numFmtId="168" fontId="69" fillId="0" borderId="12" xfId="37" applyFont="1" applyFill="1" applyBorder="1" applyAlignment="1"/>
    <xf numFmtId="168" fontId="69" fillId="0" borderId="26" xfId="37" applyFont="1" applyFill="1" applyBorder="1" applyAlignment="1"/>
    <xf numFmtId="168" fontId="69" fillId="0" borderId="33" xfId="37" applyFont="1" applyFill="1" applyBorder="1"/>
    <xf numFmtId="168" fontId="69" fillId="0" borderId="27" xfId="37" applyFont="1" applyFill="1" applyBorder="1"/>
    <xf numFmtId="168" fontId="69" fillId="0" borderId="23" xfId="37" applyFont="1" applyFill="1" applyBorder="1" applyAlignment="1">
      <alignment horizontal="center"/>
    </xf>
    <xf numFmtId="168" fontId="69" fillId="0" borderId="27" xfId="37" applyFont="1" applyFill="1" applyBorder="1" applyAlignment="1">
      <alignment horizontal="center"/>
    </xf>
    <xf numFmtId="168" fontId="69" fillId="0" borderId="31" xfId="37" applyFont="1" applyFill="1" applyBorder="1" applyAlignment="1">
      <alignment horizontal="center"/>
    </xf>
    <xf numFmtId="168" fontId="69" fillId="0" borderId="0" xfId="37" applyFont="1" applyFill="1" applyBorder="1" applyAlignment="1">
      <alignment horizontal="center"/>
    </xf>
    <xf numFmtId="168" fontId="12" fillId="0" borderId="25" xfId="29" applyFont="1" applyFill="1" applyBorder="1" applyAlignment="1">
      <alignment horizontal="center"/>
    </xf>
    <xf numFmtId="164" fontId="69" fillId="10" borderId="28" xfId="8" applyNumberFormat="1" applyFont="1" applyFill="1" applyBorder="1" applyAlignment="1">
      <alignment horizontal="center"/>
    </xf>
    <xf numFmtId="164" fontId="69" fillId="10" borderId="27" xfId="8" applyNumberFormat="1" applyFont="1" applyFill="1" applyBorder="1" applyAlignment="1">
      <alignment horizontal="center"/>
    </xf>
    <xf numFmtId="164" fontId="69" fillId="10" borderId="27" xfId="8" applyNumberFormat="1" applyFont="1" applyFill="1" applyBorder="1"/>
    <xf numFmtId="43" fontId="69" fillId="10" borderId="27" xfId="8" applyFont="1" applyFill="1" applyBorder="1"/>
    <xf numFmtId="168" fontId="69" fillId="10" borderId="27" xfId="37" applyFont="1" applyFill="1" applyBorder="1"/>
    <xf numFmtId="43" fontId="69" fillId="10" borderId="0" xfId="8" applyFont="1" applyFill="1" applyBorder="1"/>
    <xf numFmtId="43" fontId="69" fillId="10" borderId="28" xfId="8" applyFont="1" applyFill="1" applyBorder="1"/>
    <xf numFmtId="43" fontId="69" fillId="10" borderId="27" xfId="8" applyFont="1" applyFill="1" applyBorder="1" applyAlignment="1">
      <alignment horizontal="center"/>
    </xf>
    <xf numFmtId="168" fontId="69" fillId="0" borderId="25" xfId="37" applyFont="1" applyFill="1" applyBorder="1"/>
    <xf numFmtId="168" fontId="69" fillId="0" borderId="12" xfId="37" applyFont="1" applyFill="1" applyBorder="1"/>
    <xf numFmtId="166" fontId="69" fillId="0" borderId="25" xfId="10" applyNumberFormat="1" applyFont="1" applyFill="1" applyBorder="1"/>
    <xf numFmtId="168" fontId="69" fillId="0" borderId="26" xfId="37" applyFont="1" applyFill="1" applyBorder="1"/>
    <xf numFmtId="164" fontId="69" fillId="0" borderId="0" xfId="8" applyNumberFormat="1" applyFont="1" applyFill="1"/>
    <xf numFmtId="43" fontId="69" fillId="0" borderId="0" xfId="8" applyFont="1" applyFill="1"/>
    <xf numFmtId="173" fontId="69" fillId="0" borderId="0" xfId="8" applyNumberFormat="1" applyFont="1" applyFill="1"/>
    <xf numFmtId="168" fontId="69" fillId="0" borderId="0" xfId="37" applyNumberFormat="1" applyFont="1" applyFill="1" applyBorder="1" applyAlignment="1" applyProtection="1"/>
    <xf numFmtId="168" fontId="69" fillId="0" borderId="0" xfId="29" applyFont="1" applyFill="1" applyAlignment="1"/>
    <xf numFmtId="43" fontId="69" fillId="0" borderId="0" xfId="8" applyFont="1" applyFill="1" applyAlignment="1"/>
    <xf numFmtId="0" fontId="70" fillId="0" borderId="0" xfId="8" applyNumberFormat="1" applyFont="1" applyFill="1" applyBorder="1" applyAlignment="1">
      <alignment horizontal="left"/>
    </xf>
    <xf numFmtId="168" fontId="69" fillId="0" borderId="12" xfId="29" applyFont="1" applyFill="1" applyBorder="1" applyAlignment="1">
      <alignment horizontal="center"/>
    </xf>
    <xf numFmtId="168" fontId="69" fillId="0" borderId="0" xfId="29" applyFont="1" applyFill="1" applyAlignment="1">
      <alignment horizontal="center"/>
    </xf>
    <xf numFmtId="168" fontId="69" fillId="0" borderId="29" xfId="29" applyFont="1" applyFill="1" applyBorder="1" applyAlignment="1">
      <alignment horizontal="center"/>
    </xf>
    <xf numFmtId="168" fontId="69" fillId="0" borderId="33" xfId="29" applyFont="1" applyFill="1" applyBorder="1" applyAlignment="1">
      <alignment horizontal="center"/>
    </xf>
    <xf numFmtId="168" fontId="69" fillId="0" borderId="31" xfId="29" applyFont="1" applyFill="1" applyBorder="1" applyAlignment="1">
      <alignment horizontal="center"/>
    </xf>
    <xf numFmtId="168" fontId="69" fillId="0" borderId="27" xfId="29" applyFont="1" applyFill="1" applyBorder="1" applyAlignment="1">
      <alignment horizontal="center"/>
    </xf>
    <xf numFmtId="43" fontId="69" fillId="10" borderId="31" xfId="8" applyFont="1" applyFill="1" applyBorder="1" applyAlignment="1">
      <alignment horizontal="center"/>
    </xf>
    <xf numFmtId="43" fontId="69" fillId="10" borderId="27" xfId="8" applyFont="1" applyFill="1" applyBorder="1" applyAlignment="1"/>
    <xf numFmtId="164" fontId="69" fillId="10" borderId="27" xfId="8" applyNumberFormat="1" applyFont="1" applyFill="1" applyBorder="1" applyAlignment="1"/>
    <xf numFmtId="168" fontId="69" fillId="0" borderId="32" xfId="29" applyFont="1" applyFill="1" applyBorder="1" applyAlignment="1">
      <alignment horizontal="center"/>
    </xf>
    <xf numFmtId="164" fontId="69" fillId="0" borderId="0" xfId="8" applyNumberFormat="1" applyFont="1" applyFill="1" applyAlignment="1"/>
    <xf numFmtId="0" fontId="69" fillId="0" borderId="0" xfId="54" applyFont="1" applyFill="1"/>
    <xf numFmtId="0" fontId="69" fillId="0" borderId="0" xfId="8" applyNumberFormat="1" applyFont="1" applyFill="1" applyAlignment="1">
      <alignment horizontal="center" vertical="top"/>
    </xf>
    <xf numFmtId="0" fontId="69" fillId="0" borderId="0" xfId="37" applyNumberFormat="1" applyFont="1" applyFill="1" applyAlignment="1">
      <alignment horizontal="center" vertical="top"/>
    </xf>
    <xf numFmtId="0" fontId="69" fillId="0" borderId="0" xfId="0" applyFont="1" applyFill="1" applyAlignment="1"/>
    <xf numFmtId="0" fontId="69" fillId="0" borderId="0" xfId="0" applyFont="1" applyFill="1" applyAlignment="1">
      <alignment horizontal="right"/>
    </xf>
    <xf numFmtId="0" fontId="69" fillId="0" borderId="0" xfId="0" applyFont="1" applyFill="1" applyAlignment="1">
      <alignment horizontal="center"/>
    </xf>
    <xf numFmtId="0" fontId="69" fillId="0" borderId="0" xfId="0" applyFont="1" applyFill="1" applyBorder="1" applyAlignment="1"/>
    <xf numFmtId="0" fontId="25" fillId="0" borderId="0" xfId="55" applyNumberFormat="1" applyFont="1" applyFill="1" applyAlignment="1">
      <alignment horizontal="center"/>
    </xf>
    <xf numFmtId="0" fontId="25" fillId="0" borderId="0" xfId="55" applyFont="1" applyFill="1" applyBorder="1" applyAlignment="1">
      <alignment horizontal="center"/>
    </xf>
    <xf numFmtId="165" fontId="25" fillId="0" borderId="0" xfId="12" applyNumberFormat="1" applyFont="1" applyFill="1" applyBorder="1" applyAlignment="1">
      <alignment horizontal="center"/>
    </xf>
    <xf numFmtId="1" fontId="25" fillId="0" borderId="0" xfId="29" applyNumberFormat="1" applyFont="1" applyFill="1" applyAlignment="1">
      <alignment horizontal="left"/>
    </xf>
    <xf numFmtId="168" fontId="58" fillId="0" borderId="0" xfId="29" quotePrefix="1" applyFont="1" applyFill="1" applyAlignment="1">
      <alignment horizontal="left"/>
    </xf>
    <xf numFmtId="168" fontId="7" fillId="0" borderId="0" xfId="29" applyFont="1" applyFill="1" applyAlignment="1"/>
    <xf numFmtId="0" fontId="84" fillId="0" borderId="0" xfId="55" applyFont="1" applyFill="1" applyAlignment="1">
      <alignment horizontal="center" wrapText="1"/>
    </xf>
    <xf numFmtId="0" fontId="84" fillId="0" borderId="0" xfId="55" applyFont="1" applyFill="1" applyBorder="1" applyAlignment="1">
      <alignment horizontal="center" wrapText="1"/>
    </xf>
    <xf numFmtId="168" fontId="25" fillId="0" borderId="0" xfId="29" applyFont="1" applyFill="1" applyAlignment="1"/>
    <xf numFmtId="43" fontId="25" fillId="0" borderId="0" xfId="8" applyFont="1" applyFill="1" applyAlignment="1"/>
    <xf numFmtId="173" fontId="85" fillId="10" borderId="0" xfId="8" applyNumberFormat="1" applyFont="1" applyFill="1"/>
    <xf numFmtId="10" fontId="85" fillId="0" borderId="0" xfId="55" applyNumberFormat="1" applyFont="1" applyFill="1" applyBorder="1"/>
    <xf numFmtId="43" fontId="84" fillId="0" borderId="0" xfId="8" applyFont="1" applyFill="1" applyBorder="1"/>
    <xf numFmtId="0" fontId="84" fillId="0" borderId="0" xfId="55" applyFont="1" applyFill="1" applyBorder="1"/>
    <xf numFmtId="0" fontId="25" fillId="0" borderId="0" xfId="55" applyNumberFormat="1" applyFont="1" applyFill="1" applyBorder="1" applyAlignment="1">
      <alignment horizontal="center"/>
    </xf>
    <xf numFmtId="0" fontId="84" fillId="0" borderId="0" xfId="55" applyFont="1" applyFill="1" applyBorder="1" applyAlignment="1">
      <alignment horizontal="center"/>
    </xf>
    <xf numFmtId="10" fontId="84" fillId="0" borderId="0" xfId="55" applyNumberFormat="1" applyFont="1" applyFill="1" applyBorder="1"/>
    <xf numFmtId="168" fontId="25" fillId="0" borderId="0" xfId="29" quotePrefix="1" applyFont="1" applyFill="1" applyBorder="1" applyAlignment="1">
      <alignment horizontal="left"/>
    </xf>
    <xf numFmtId="43" fontId="25" fillId="0" borderId="0" xfId="8" applyFont="1" applyFill="1" applyBorder="1" applyAlignment="1"/>
    <xf numFmtId="0" fontId="86" fillId="0" borderId="0" xfId="55" applyFont="1" applyFill="1" applyBorder="1"/>
    <xf numFmtId="168" fontId="25" fillId="0" borderId="0" xfId="29" applyFont="1" applyFill="1" applyBorder="1" applyAlignment="1"/>
    <xf numFmtId="0" fontId="84" fillId="0" borderId="0" xfId="55" applyFont="1" applyFill="1"/>
    <xf numFmtId="0" fontId="69" fillId="0" borderId="0" xfId="0" applyFont="1" applyFill="1"/>
    <xf numFmtId="0" fontId="69" fillId="0" borderId="0" xfId="0" applyFont="1" applyFill="1" applyBorder="1"/>
    <xf numFmtId="166" fontId="69" fillId="0" borderId="0" xfId="10" applyNumberFormat="1" applyFont="1" applyFill="1" applyBorder="1"/>
    <xf numFmtId="0" fontId="69" fillId="0" borderId="29" xfId="0" applyFont="1" applyFill="1" applyBorder="1" applyAlignment="1">
      <alignment horizontal="center"/>
    </xf>
    <xf numFmtId="0" fontId="69" fillId="0" borderId="19" xfId="0" applyFont="1" applyFill="1" applyBorder="1" applyAlignment="1">
      <alignment horizontal="center"/>
    </xf>
    <xf numFmtId="0" fontId="69" fillId="0" borderId="30" xfId="0" applyFont="1" applyFill="1" applyBorder="1" applyAlignment="1">
      <alignment horizontal="center"/>
    </xf>
    <xf numFmtId="0" fontId="69" fillId="0" borderId="31" xfId="0" applyFont="1" applyFill="1" applyBorder="1"/>
    <xf numFmtId="168" fontId="12" fillId="0" borderId="28" xfId="29" applyFont="1" applyFill="1" applyBorder="1" applyAlignment="1"/>
    <xf numFmtId="0" fontId="69" fillId="0" borderId="31" xfId="0" applyFont="1" applyFill="1" applyBorder="1" applyAlignment="1">
      <alignment horizontal="center"/>
    </xf>
    <xf numFmtId="0" fontId="69" fillId="0" borderId="28" xfId="0" applyFont="1" applyFill="1" applyBorder="1" applyAlignment="1">
      <alignment horizontal="center"/>
    </xf>
    <xf numFmtId="168" fontId="69" fillId="0" borderId="0" xfId="29" applyFont="1" applyFill="1" applyBorder="1" applyAlignment="1">
      <alignment horizontal="center" wrapText="1"/>
    </xf>
    <xf numFmtId="0" fontId="69"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69" fillId="0" borderId="28" xfId="0" applyFont="1" applyFill="1" applyBorder="1" applyAlignment="1">
      <alignment horizontal="center" wrapText="1"/>
    </xf>
    <xf numFmtId="43" fontId="69" fillId="0" borderId="0" xfId="8" applyFont="1" applyFill="1" applyBorder="1"/>
    <xf numFmtId="173" fontId="69" fillId="0" borderId="0" xfId="8" applyNumberFormat="1" applyFont="1" applyFill="1" applyBorder="1"/>
    <xf numFmtId="43" fontId="69" fillId="0" borderId="28" xfId="8" applyFont="1" applyFill="1" applyBorder="1"/>
    <xf numFmtId="0" fontId="69" fillId="10" borderId="31" xfId="0" applyFont="1" applyFill="1" applyBorder="1"/>
    <xf numFmtId="0" fontId="69" fillId="10" borderId="0" xfId="0" applyFont="1" applyFill="1" applyBorder="1"/>
    <xf numFmtId="185" fontId="69" fillId="0" borderId="0" xfId="8" applyNumberFormat="1" applyFont="1" applyFill="1" applyBorder="1" applyAlignment="1"/>
    <xf numFmtId="0" fontId="69" fillId="0" borderId="12" xfId="0" applyFont="1" applyFill="1" applyBorder="1"/>
    <xf numFmtId="43" fontId="69" fillId="0" borderId="12" xfId="8" applyFont="1" applyFill="1" applyBorder="1"/>
    <xf numFmtId="10" fontId="69" fillId="0" borderId="0" xfId="12" applyNumberFormat="1" applyFont="1" applyFill="1" applyBorder="1"/>
    <xf numFmtId="164" fontId="69" fillId="0" borderId="28" xfId="50" applyNumberFormat="1" applyFont="1" applyFill="1" applyBorder="1"/>
    <xf numFmtId="164" fontId="69" fillId="0" borderId="12" xfId="8" applyNumberFormat="1" applyFont="1" applyFill="1" applyBorder="1"/>
    <xf numFmtId="164" fontId="69" fillId="0" borderId="26" xfId="8" applyNumberFormat="1" applyFont="1" applyFill="1" applyBorder="1"/>
    <xf numFmtId="164" fontId="69" fillId="10" borderId="0" xfId="50" quotePrefix="1" applyNumberFormat="1" applyFont="1" applyFill="1" applyAlignment="1">
      <alignment horizontal="left"/>
    </xf>
    <xf numFmtId="168" fontId="87" fillId="10" borderId="0" xfId="37" applyFont="1" applyFill="1" applyAlignment="1"/>
    <xf numFmtId="164" fontId="69" fillId="0" borderId="21" xfId="8" applyNumberFormat="1" applyFont="1" applyFill="1" applyBorder="1"/>
    <xf numFmtId="168" fontId="69" fillId="10" borderId="27" xfId="52" applyFont="1" applyFill="1" applyBorder="1" applyAlignment="1"/>
    <xf numFmtId="168" fontId="69" fillId="10" borderId="0" xfId="37" applyFont="1" applyFill="1" applyBorder="1"/>
    <xf numFmtId="10" fontId="69" fillId="0" borderId="26" xfId="12" applyNumberFormat="1" applyFont="1" applyFill="1" applyBorder="1"/>
    <xf numFmtId="43" fontId="69" fillId="0" borderId="0" xfId="8" applyNumberFormat="1" applyFont="1" applyFill="1"/>
    <xf numFmtId="168" fontId="70" fillId="0" borderId="0" xfId="27" quotePrefix="1" applyFont="1" applyFill="1" applyAlignment="1">
      <alignment horizontal="center"/>
    </xf>
    <xf numFmtId="0" fontId="69" fillId="0" borderId="0" xfId="58" applyNumberFormat="1" applyFont="1" applyFill="1" applyAlignment="1">
      <alignment horizontal="center"/>
    </xf>
    <xf numFmtId="168" fontId="69" fillId="0" borderId="0" xfId="58" applyFont="1" applyFill="1" applyAlignment="1"/>
    <xf numFmtId="0" fontId="68" fillId="0" borderId="0" xfId="58" applyNumberFormat="1" applyFont="1" applyFill="1" applyAlignment="1">
      <alignment horizontal="center"/>
    </xf>
    <xf numFmtId="0" fontId="69" fillId="0" borderId="0" xfId="58" applyNumberFormat="1" applyFont="1" applyFill="1" applyAlignment="1">
      <alignment horizontal="center" wrapText="1"/>
    </xf>
    <xf numFmtId="0" fontId="69" fillId="0" borderId="0" xfId="59" applyFont="1" applyFill="1" applyAlignment="1">
      <alignment horizontal="left" wrapText="1"/>
    </xf>
    <xf numFmtId="168" fontId="70" fillId="0" borderId="0" xfId="58" applyFont="1" applyFill="1" applyAlignment="1">
      <alignment horizontal="center" wrapText="1"/>
    </xf>
    <xf numFmtId="168" fontId="69" fillId="0" borderId="0" xfId="58" applyFont="1" applyFill="1" applyAlignment="1">
      <alignment wrapText="1"/>
    </xf>
    <xf numFmtId="168" fontId="68" fillId="0" borderId="0" xfId="58" applyFont="1" applyFill="1" applyAlignment="1"/>
    <xf numFmtId="168" fontId="69" fillId="0" borderId="29" xfId="37" applyFont="1" applyFill="1" applyBorder="1" applyAlignment="1">
      <alignment horizontal="center"/>
    </xf>
    <xf numFmtId="0" fontId="69"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3" fillId="0" borderId="0" xfId="60" applyAlignment="1"/>
    <xf numFmtId="168" fontId="33" fillId="10" borderId="0" xfId="60" applyFill="1" applyAlignment="1"/>
    <xf numFmtId="166" fontId="69" fillId="10" borderId="0" xfId="61" quotePrefix="1" applyNumberFormat="1" applyFont="1" applyFill="1" applyAlignment="1">
      <alignment horizontal="center"/>
    </xf>
    <xf numFmtId="168" fontId="87" fillId="10" borderId="0" xfId="60" applyFont="1" applyFill="1" applyAlignment="1"/>
    <xf numFmtId="166" fontId="69" fillId="0" borderId="0" xfId="62" quotePrefix="1" applyNumberFormat="1" applyFont="1" applyFill="1" applyAlignment="1">
      <alignment horizontal="left"/>
    </xf>
    <xf numFmtId="0" fontId="70"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5" fillId="0" borderId="0" xfId="0" applyNumberFormat="1"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90" fillId="0" borderId="0" xfId="0" applyFont="1"/>
    <xf numFmtId="0" fontId="89" fillId="0" borderId="0" xfId="0" applyFont="1"/>
    <xf numFmtId="0" fontId="91" fillId="10" borderId="0" xfId="0" applyFont="1" applyFill="1"/>
    <xf numFmtId="0" fontId="90" fillId="10" borderId="0" xfId="0" applyFont="1" applyFill="1"/>
    <xf numFmtId="0" fontId="65" fillId="0" borderId="0" xfId="0" applyFont="1"/>
    <xf numFmtId="0" fontId="93" fillId="12" borderId="0" xfId="0" applyFont="1" applyFill="1"/>
    <xf numFmtId="41" fontId="69" fillId="0" borderId="0" xfId="28" applyNumberFormat="1" applyFont="1" applyFill="1"/>
    <xf numFmtId="0" fontId="82" fillId="0" borderId="0" xfId="0" applyFont="1" applyAlignment="1">
      <alignment wrapText="1"/>
    </xf>
    <xf numFmtId="0" fontId="94"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8"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0" fontId="12" fillId="0" borderId="0" xfId="0" applyFont="1" applyBorder="1" applyAlignment="1">
      <alignment horizontal="left"/>
    </xf>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7" fillId="10" borderId="0" xfId="50"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9" fillId="0" borderId="0" xfId="28" applyNumberFormat="1" applyFont="1" applyFill="1" applyAlignment="1">
      <alignment horizontal="center"/>
    </xf>
    <xf numFmtId="164" fontId="69" fillId="0" borderId="0" xfId="54" applyNumberFormat="1" applyFont="1" applyFill="1"/>
    <xf numFmtId="0" fontId="63" fillId="0" borderId="0" xfId="0" applyFont="1"/>
    <xf numFmtId="0" fontId="63" fillId="0" borderId="0" xfId="0" applyFont="1" applyAlignment="1">
      <alignment horizontal="center"/>
    </xf>
    <xf numFmtId="0" fontId="96" fillId="0" borderId="0" xfId="0" applyFont="1"/>
    <xf numFmtId="0" fontId="97" fillId="0" borderId="0" xfId="36" applyFont="1" applyFill="1" applyAlignment="1">
      <alignment horizontal="center"/>
    </xf>
    <xf numFmtId="164" fontId="63" fillId="0" borderId="0" xfId="8" applyNumberFormat="1" applyFont="1" applyAlignment="1">
      <alignment horizontal="center"/>
    </xf>
    <xf numFmtId="0" fontId="70" fillId="0" borderId="0" xfId="28" applyFont="1" applyFill="1"/>
    <xf numFmtId="0" fontId="85" fillId="0" borderId="0" xfId="55" applyNumberFormat="1" applyFont="1" applyFill="1" applyBorder="1"/>
    <xf numFmtId="0" fontId="70" fillId="0" borderId="0" xfId="0" applyFont="1" applyFill="1" applyAlignment="1"/>
    <xf numFmtId="168" fontId="98"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5" fontId="25" fillId="0" borderId="0" xfId="12" applyNumberFormat="1" applyFont="1" applyFill="1" applyAlignment="1"/>
    <xf numFmtId="175" fontId="25" fillId="0" borderId="0" xfId="12" applyNumberFormat="1" applyFont="1" applyFill="1" applyBorder="1" applyAlignment="1"/>
    <xf numFmtId="165" fontId="25" fillId="0" borderId="0" xfId="0" applyNumberFormat="1" applyFont="1" applyFill="1" applyAlignment="1">
      <alignment horizontal="right"/>
    </xf>
    <xf numFmtId="176" fontId="34" fillId="0" borderId="0" xfId="12" applyNumberFormat="1" applyFont="1" applyFill="1" applyAlignment="1">
      <alignment horizontal="right"/>
    </xf>
    <xf numFmtId="165" fontId="35"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6" fontId="25" fillId="0" borderId="0" xfId="0" applyNumberFormat="1" applyFont="1" applyFill="1" applyAlignment="1"/>
    <xf numFmtId="176" fontId="25" fillId="0" borderId="0" xfId="0" applyNumberFormat="1" applyFont="1" applyFill="1" applyAlignment="1">
      <alignment horizontal="center"/>
    </xf>
    <xf numFmtId="172" fontId="25" fillId="0" borderId="0" xfId="0" applyNumberFormat="1" applyFont="1" applyFill="1" applyBorder="1" applyAlignment="1"/>
    <xf numFmtId="43" fontId="25" fillId="0" borderId="0" xfId="12" applyNumberFormat="1" applyFont="1" applyFill="1" applyAlignment="1"/>
    <xf numFmtId="164" fontId="34" fillId="0" borderId="0" xfId="8" applyNumberFormat="1" applyFont="1" applyFill="1" applyBorder="1" applyAlignment="1">
      <alignment horizontal="right"/>
    </xf>
    <xf numFmtId="37" fontId="34"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1"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80" fontId="25" fillId="0" borderId="0" xfId="12" applyNumberFormat="1" applyFont="1" applyFill="1"/>
    <xf numFmtId="43" fontId="25" fillId="0" borderId="0" xfId="0" applyNumberFormat="1" applyFont="1" applyFill="1"/>
    <xf numFmtId="10" fontId="69" fillId="10" borderId="0" xfId="49" applyNumberFormat="1" applyFont="1" applyFill="1" applyAlignment="1"/>
    <xf numFmtId="0" fontId="0" fillId="0" borderId="0" xfId="0" applyAlignment="1"/>
    <xf numFmtId="0" fontId="0" fillId="0" borderId="0" xfId="0" applyAlignment="1">
      <alignment horizontal="center"/>
    </xf>
    <xf numFmtId="0" fontId="45" fillId="0" borderId="0" xfId="16" applyFont="1" applyFill="1" applyAlignment="1">
      <alignment horizontal="center" wrapText="1"/>
    </xf>
    <xf numFmtId="9" fontId="8" fillId="0" borderId="0" xfId="49" applyFont="1" applyFill="1" applyAlignment="1">
      <alignment wrapText="1"/>
    </xf>
    <xf numFmtId="166" fontId="47"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7" fillId="0" borderId="0" xfId="0" applyFont="1" applyFill="1" applyAlignment="1">
      <alignment wrapText="1"/>
    </xf>
    <xf numFmtId="0" fontId="47" fillId="0" borderId="0" xfId="0" applyFont="1"/>
    <xf numFmtId="0" fontId="47" fillId="0" borderId="0" xfId="0" applyFont="1" applyAlignment="1">
      <alignment wrapText="1"/>
    </xf>
    <xf numFmtId="0" fontId="18" fillId="0" borderId="0" xfId="0" applyFont="1" applyFill="1" applyAlignment="1">
      <alignment horizontal="left"/>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70" fillId="0" borderId="5" xfId="28" quotePrefix="1" applyFont="1" applyFill="1" applyBorder="1" applyAlignment="1">
      <alignment horizontal="left" wrapText="1"/>
    </xf>
    <xf numFmtId="0" fontId="70" fillId="0" borderId="0" xfId="28" applyFont="1" applyFill="1" applyAlignment="1">
      <alignment wrapText="1"/>
    </xf>
    <xf numFmtId="164" fontId="6" fillId="0" borderId="0" xfId="1" applyNumberFormat="1" applyFont="1" applyFill="1"/>
    <xf numFmtId="9" fontId="13" fillId="0" borderId="5" xfId="0" applyNumberFormat="1" applyFont="1" applyFill="1" applyBorder="1"/>
    <xf numFmtId="164" fontId="13" fillId="0" borderId="0" xfId="1" applyNumberFormat="1" applyFont="1" applyFill="1" applyAlignment="1">
      <alignment horizontal="center" wrapText="1"/>
    </xf>
    <xf numFmtId="0" fontId="12" fillId="0" borderId="0" xfId="0" applyFont="1" applyFill="1" applyAlignment="1">
      <alignment horizontal="center" wrapText="1"/>
    </xf>
    <xf numFmtId="167" fontId="6" fillId="0" borderId="0" xfId="0" applyNumberFormat="1" applyFont="1" applyFill="1"/>
    <xf numFmtId="186" fontId="47" fillId="0" borderId="6" xfId="0" applyNumberFormat="1" applyFont="1" applyFill="1" applyBorder="1"/>
    <xf numFmtId="166" fontId="67" fillId="0" borderId="0" xfId="0" applyNumberFormat="1" applyFont="1" applyFill="1"/>
    <xf numFmtId="164" fontId="0" fillId="0" borderId="5" xfId="50" applyNumberFormat="1" applyFont="1" applyFill="1" applyBorder="1" applyAlignment="1">
      <alignment horizontal="center"/>
    </xf>
    <xf numFmtId="164" fontId="0" fillId="0" borderId="0" xfId="50"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50"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70" fillId="0" borderId="35" xfId="28" quotePrefix="1" applyFont="1" applyFill="1" applyBorder="1" applyAlignment="1">
      <alignment horizontal="left" wrapText="1"/>
    </xf>
    <xf numFmtId="0" fontId="70" fillId="0" borderId="12" xfId="28" applyFont="1" applyFill="1" applyBorder="1"/>
    <xf numFmtId="0" fontId="70" fillId="0" borderId="12" xfId="28" applyFont="1" applyFill="1" applyBorder="1" applyAlignment="1">
      <alignment wrapText="1"/>
    </xf>
    <xf numFmtId="0" fontId="70" fillId="0" borderId="12" xfId="28" applyFont="1" applyFill="1" applyBorder="1" applyAlignment="1">
      <alignment horizontal="center" wrapText="1"/>
    </xf>
    <xf numFmtId="3" fontId="69" fillId="0" borderId="35" xfId="35" applyNumberFormat="1" applyFont="1" applyFill="1" applyBorder="1" applyAlignment="1">
      <alignment horizontal="center" wrapText="1"/>
    </xf>
    <xf numFmtId="0" fontId="69" fillId="0" borderId="12" xfId="35" applyFont="1" applyFill="1" applyBorder="1" applyAlignment="1">
      <alignment horizontal="center" wrapText="1"/>
    </xf>
    <xf numFmtId="3" fontId="69" fillId="0" borderId="12" xfId="35"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9" fillId="0" borderId="0" xfId="27" applyFont="1" applyFill="1" applyAlignment="1">
      <alignment horizontal="left"/>
    </xf>
    <xf numFmtId="164" fontId="69" fillId="0" borderId="0" xfId="8" applyNumberFormat="1" applyFont="1" applyFill="1" applyAlignment="1">
      <alignment horizontal="center"/>
    </xf>
    <xf numFmtId="10" fontId="69" fillId="0" borderId="0" xfId="8" applyNumberFormat="1" applyFont="1" applyFill="1" applyAlignment="1">
      <alignment horizontal="center"/>
    </xf>
    <xf numFmtId="164" fontId="69" fillId="0" borderId="0" xfId="50" applyNumberFormat="1" applyFont="1" applyFill="1"/>
    <xf numFmtId="164" fontId="69" fillId="0" borderId="0" xfId="50" applyNumberFormat="1" applyFont="1" applyFill="1" applyAlignment="1">
      <alignment horizontal="center" wrapText="1"/>
    </xf>
    <xf numFmtId="186" fontId="0" fillId="0" borderId="6" xfId="0" applyNumberFormat="1" applyFill="1" applyBorder="1"/>
    <xf numFmtId="164" fontId="69" fillId="0" borderId="0" xfId="8" applyNumberFormat="1" applyFont="1" applyFill="1" applyAlignment="1">
      <alignment horizontal="center" wrapText="1"/>
    </xf>
    <xf numFmtId="164" fontId="13" fillId="0" borderId="38" xfId="50" applyNumberFormat="1" applyFont="1" applyFill="1" applyBorder="1"/>
    <xf numFmtId="164" fontId="100" fillId="0" borderId="40" xfId="50" applyNumberFormat="1" applyFont="1" applyFill="1" applyBorder="1"/>
    <xf numFmtId="164" fontId="13" fillId="0" borderId="41" xfId="50" applyNumberFormat="1" applyFont="1" applyFill="1" applyBorder="1"/>
    <xf numFmtId="168" fontId="69" fillId="0" borderId="0" xfId="27" applyFont="1" applyFill="1"/>
    <xf numFmtId="164" fontId="100" fillId="0" borderId="0" xfId="50" applyNumberFormat="1" applyFont="1" applyFill="1"/>
    <xf numFmtId="164" fontId="13" fillId="0" borderId="0" xfId="50" applyNumberFormat="1" applyFont="1" applyFill="1"/>
    <xf numFmtId="186" fontId="0" fillId="0" borderId="0" xfId="0" applyNumberFormat="1" applyFill="1"/>
    <xf numFmtId="0" fontId="67" fillId="0" borderId="1" xfId="0" applyFont="1" applyFill="1" applyBorder="1" applyAlignment="1">
      <alignment horizontal="left"/>
    </xf>
    <xf numFmtId="164" fontId="12" fillId="0" borderId="5" xfId="50" applyNumberFormat="1" applyFont="1" applyFill="1" applyBorder="1"/>
    <xf numFmtId="164" fontId="12" fillId="0" borderId="36" xfId="50" applyNumberFormat="1" applyFont="1" applyFill="1" applyBorder="1"/>
    <xf numFmtId="164" fontId="12" fillId="0" borderId="37" xfId="50" applyNumberFormat="1" applyFont="1" applyFill="1" applyBorder="1"/>
    <xf numFmtId="164" fontId="12" fillId="0" borderId="39" xfId="50" applyNumberFormat="1" applyFont="1" applyFill="1" applyBorder="1"/>
    <xf numFmtId="164" fontId="12" fillId="0" borderId="41" xfId="50" applyNumberFormat="1" applyFont="1" applyFill="1" applyBorder="1"/>
    <xf numFmtId="0" fontId="101" fillId="0" borderId="0" xfId="0" applyFont="1"/>
    <xf numFmtId="164" fontId="103" fillId="10" borderId="0" xfId="50" applyNumberFormat="1" applyFont="1" applyFill="1" applyProtection="1">
      <protection locked="0"/>
    </xf>
    <xf numFmtId="0" fontId="103" fillId="0" borderId="0" xfId="0" applyFont="1"/>
    <xf numFmtId="0" fontId="74" fillId="0" borderId="0" xfId="0" applyFont="1"/>
    <xf numFmtId="0" fontId="74" fillId="0" borderId="0" xfId="152" applyFont="1" applyAlignment="1">
      <alignment horizontal="center"/>
    </xf>
    <xf numFmtId="43" fontId="74" fillId="0" borderId="0" xfId="8" applyFont="1" applyAlignment="1">
      <alignment horizontal="center"/>
    </xf>
    <xf numFmtId="164" fontId="101" fillId="0" borderId="0" xfId="8" applyNumberFormat="1" applyFont="1"/>
    <xf numFmtId="0" fontId="74" fillId="0" borderId="0" xfId="152" applyFont="1"/>
    <xf numFmtId="10" fontId="74" fillId="0" borderId="0" xfId="12" applyNumberFormat="1" applyFont="1" applyAlignment="1">
      <alignment horizontal="center"/>
    </xf>
    <xf numFmtId="0" fontId="97" fillId="0" borderId="0" xfId="152" applyFont="1" applyAlignment="1">
      <alignment horizontal="center" vertical="center"/>
    </xf>
    <xf numFmtId="10" fontId="74" fillId="0" borderId="0" xfId="12" applyNumberFormat="1" applyFont="1" applyAlignment="1">
      <alignment horizontal="center" vertical="center"/>
    </xf>
    <xf numFmtId="0" fontId="74" fillId="0" borderId="0" xfId="152" applyFont="1" applyAlignment="1">
      <alignment horizontal="left"/>
    </xf>
    <xf numFmtId="173" fontId="74" fillId="0" borderId="0" xfId="8" applyNumberFormat="1" applyFont="1"/>
    <xf numFmtId="0" fontId="97" fillId="0" borderId="0" xfId="152" applyFont="1" applyAlignment="1">
      <alignment horizontal="left" vertical="center"/>
    </xf>
    <xf numFmtId="170" fontId="97" fillId="0" borderId="0" xfId="8" applyNumberFormat="1" applyFont="1" applyAlignment="1">
      <alignment horizontal="center"/>
    </xf>
    <xf numFmtId="0" fontId="74" fillId="0" borderId="0" xfId="152" applyFont="1" applyAlignment="1">
      <alignment horizontal="left" indent="1"/>
    </xf>
    <xf numFmtId="0" fontId="101" fillId="0" borderId="0" xfId="0" applyFont="1" applyAlignment="1">
      <alignment vertical="center" wrapText="1"/>
    </xf>
    <xf numFmtId="0" fontId="54" fillId="0" borderId="0" xfId="22" applyFont="1" applyAlignment="1"/>
    <xf numFmtId="3" fontId="25" fillId="0" borderId="0" xfId="0" applyNumberFormat="1" applyFont="1" applyFill="1" applyBorder="1" applyAlignment="1">
      <alignment horizontal="center"/>
    </xf>
    <xf numFmtId="3" fontId="25" fillId="0" borderId="12" xfId="0" applyNumberFormat="1" applyFont="1" applyBorder="1"/>
    <xf numFmtId="3" fontId="25" fillId="0" borderId="12" xfId="0" applyNumberFormat="1" applyFont="1" applyBorder="1" applyAlignment="1">
      <alignment horizontal="center"/>
    </xf>
    <xf numFmtId="176" fontId="25" fillId="0" borderId="0" xfId="0" applyNumberFormat="1" applyFont="1"/>
    <xf numFmtId="3" fontId="36" fillId="0" borderId="0" xfId="0" applyNumberFormat="1" applyFont="1" applyAlignment="1">
      <alignment horizontal="center"/>
    </xf>
    <xf numFmtId="166" fontId="103" fillId="10" borderId="0" xfId="48" applyNumberFormat="1" applyFont="1" applyFill="1" applyProtection="1">
      <protection locked="0"/>
    </xf>
    <xf numFmtId="0" fontId="105" fillId="0" borderId="0" xfId="0" applyFont="1"/>
    <xf numFmtId="0" fontId="105" fillId="0" borderId="0" xfId="28" applyFont="1" applyAlignment="1">
      <alignment horizontal="center"/>
    </xf>
    <xf numFmtId="0" fontId="103" fillId="0" borderId="0" xfId="0" applyFont="1" applyAlignment="1">
      <alignment horizontal="center" wrapText="1"/>
    </xf>
    <xf numFmtId="1" fontId="103" fillId="0" borderId="12" xfId="0" applyNumberFormat="1" applyFont="1" applyBorder="1" applyAlignment="1">
      <alignment horizontal="center"/>
    </xf>
    <xf numFmtId="0" fontId="103" fillId="0" borderId="12" xfId="0" applyFont="1" applyBorder="1"/>
    <xf numFmtId="0" fontId="105" fillId="0" borderId="0" xfId="151" applyFont="1" applyAlignment="1">
      <alignment horizontal="center"/>
    </xf>
    <xf numFmtId="0" fontId="103" fillId="0" borderId="0" xfId="50" applyNumberFormat="1" applyFont="1" applyAlignment="1">
      <alignment horizontal="left"/>
    </xf>
    <xf numFmtId="1" fontId="103" fillId="0" borderId="0" xfId="151" applyNumberFormat="1" applyFont="1" applyAlignment="1">
      <alignment horizontal="center"/>
    </xf>
    <xf numFmtId="164" fontId="103" fillId="0" borderId="12" xfId="151" applyNumberFormat="1" applyFont="1" applyBorder="1" applyAlignment="1" applyProtection="1">
      <alignment horizontal="center"/>
      <protection locked="0"/>
    </xf>
    <xf numFmtId="0" fontId="103" fillId="0" borderId="0" xfId="0" applyFont="1" applyAlignment="1">
      <alignment horizontal="center"/>
    </xf>
    <xf numFmtId="187" fontId="103" fillId="0" borderId="0" xfId="151" applyNumberFormat="1" applyFont="1" applyAlignment="1">
      <alignment horizontal="left"/>
    </xf>
    <xf numFmtId="188" fontId="103" fillId="0" borderId="0" xfId="151" applyNumberFormat="1" applyFont="1" applyAlignment="1">
      <alignment horizontal="center"/>
    </xf>
    <xf numFmtId="166" fontId="103" fillId="0" borderId="0" xfId="48" applyNumberFormat="1" applyFont="1"/>
    <xf numFmtId="166" fontId="103" fillId="0" borderId="0" xfId="0" applyNumberFormat="1" applyFont="1" applyProtection="1">
      <protection locked="0"/>
    </xf>
    <xf numFmtId="164" fontId="103" fillId="0" borderId="0" xfId="50" applyNumberFormat="1" applyFont="1"/>
    <xf numFmtId="188" fontId="103" fillId="0" borderId="0" xfId="0" applyNumberFormat="1" applyFont="1" applyAlignment="1">
      <alignment horizontal="center"/>
    </xf>
    <xf numFmtId="0" fontId="103" fillId="0" borderId="0" xfId="151" applyFont="1" applyAlignment="1">
      <alignment horizontal="left"/>
    </xf>
    <xf numFmtId="166" fontId="103" fillId="0" borderId="21" xfId="48" applyNumberFormat="1" applyFont="1" applyBorder="1" applyProtection="1">
      <protection locked="0"/>
    </xf>
    <xf numFmtId="0" fontId="103" fillId="0" borderId="0" xfId="0" applyFont="1" applyAlignment="1">
      <alignment horizontal="right"/>
    </xf>
    <xf numFmtId="10" fontId="103" fillId="0" borderId="0" xfId="49" applyNumberFormat="1" applyFont="1"/>
    <xf numFmtId="184" fontId="103" fillId="0" borderId="0" xfId="0" applyNumberFormat="1" applyFont="1"/>
    <xf numFmtId="164" fontId="103" fillId="0" borderId="0" xfId="50" quotePrefix="1" applyNumberFormat="1" applyFont="1" applyAlignment="1">
      <alignment horizontal="left"/>
    </xf>
    <xf numFmtId="0" fontId="105" fillId="0" borderId="0" xfId="28" applyFont="1" applyAlignment="1">
      <alignment horizontal="center" wrapText="1"/>
    </xf>
    <xf numFmtId="189" fontId="103" fillId="0" borderId="0" xfId="48" applyNumberFormat="1" applyFont="1"/>
    <xf numFmtId="166" fontId="103" fillId="10" borderId="0" xfId="48" applyNumberFormat="1" applyFont="1" applyFill="1"/>
    <xf numFmtId="170" fontId="103" fillId="0" borderId="0" xfId="50" applyNumberFormat="1" applyFont="1"/>
    <xf numFmtId="164" fontId="103" fillId="10" borderId="0" xfId="50" applyNumberFormat="1" applyFont="1" applyFill="1"/>
    <xf numFmtId="164" fontId="103" fillId="0" borderId="0" xfId="50" applyNumberFormat="1" applyFont="1" applyProtection="1">
      <protection locked="0"/>
    </xf>
    <xf numFmtId="166" fontId="103" fillId="0" borderId="0" xfId="48" applyNumberFormat="1" applyFont="1" applyProtection="1">
      <protection locked="0"/>
    </xf>
    <xf numFmtId="189" fontId="103" fillId="0" borderId="21" xfId="48" applyNumberFormat="1" applyFont="1" applyBorder="1" applyProtection="1">
      <protection locked="0"/>
    </xf>
    <xf numFmtId="164" fontId="103" fillId="0" borderId="0" xfId="50" applyNumberFormat="1" applyFont="1" applyFill="1"/>
    <xf numFmtId="164" fontId="6" fillId="0" borderId="0" xfId="7" applyNumberFormat="1" applyFont="1"/>
    <xf numFmtId="0" fontId="6" fillId="0" borderId="0" xfId="7" applyFont="1"/>
    <xf numFmtId="43" fontId="6" fillId="0" borderId="0" xfId="50"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9" applyNumberFormat="1" applyFont="1" applyAlignment="1">
      <alignment horizontal="right"/>
    </xf>
    <xf numFmtId="0" fontId="8" fillId="0" borderId="0" xfId="35"/>
    <xf numFmtId="0" fontId="69" fillId="0" borderId="0" xfId="27" applyNumberFormat="1" applyFont="1" applyAlignment="1">
      <alignment horizontal="center"/>
    </xf>
    <xf numFmtId="168" fontId="69" fillId="0" borderId="0" xfId="27" applyFont="1"/>
    <xf numFmtId="0" fontId="70" fillId="0" borderId="0" xfId="28"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0" fontId="0" fillId="10" borderId="0" xfId="0" applyFill="1"/>
    <xf numFmtId="164" fontId="0" fillId="0" borderId="7" xfId="50" applyNumberFormat="1" applyFont="1" applyFill="1" applyBorder="1" applyAlignment="1">
      <alignment horizontal="center"/>
    </xf>
    <xf numFmtId="164" fontId="0" fillId="0" borderId="1" xfId="50" applyNumberFormat="1" applyFont="1" applyFill="1" applyBorder="1" applyAlignment="1">
      <alignment horizontal="center"/>
    </xf>
    <xf numFmtId="0" fontId="14" fillId="0" borderId="0" xfId="5" applyFont="1" applyFill="1" applyAlignment="1">
      <alignment horizontal="center"/>
    </xf>
    <xf numFmtId="44" fontId="69" fillId="0" borderId="0" xfId="27" applyNumberFormat="1" applyFont="1" applyFill="1" applyBorder="1" applyAlignment="1"/>
    <xf numFmtId="164" fontId="101" fillId="0" borderId="0" xfId="50" applyNumberFormat="1" applyFont="1"/>
    <xf numFmtId="164" fontId="33" fillId="0" borderId="0" xfId="50" applyNumberFormat="1" applyFont="1" applyAlignment="1"/>
    <xf numFmtId="0" fontId="103" fillId="0" borderId="0" xfId="152" applyFont="1" applyFill="1" applyAlignment="1">
      <alignment horizontal="left" indent="1"/>
    </xf>
    <xf numFmtId="0" fontId="105" fillId="0" borderId="0" xfId="152" applyFont="1" applyFill="1" applyAlignment="1">
      <alignment horizontal="left" indent="1"/>
    </xf>
    <xf numFmtId="0" fontId="103" fillId="0" borderId="0" xfId="152" applyFont="1" applyAlignment="1">
      <alignment horizontal="left" indent="1"/>
    </xf>
    <xf numFmtId="0" fontId="20" fillId="3" borderId="4" xfId="0" applyFont="1" applyFill="1" applyBorder="1" applyAlignment="1">
      <alignment horizontal="center" wrapText="1"/>
    </xf>
    <xf numFmtId="164" fontId="103" fillId="0" borderId="0" xfId="0" applyNumberFormat="1" applyFont="1"/>
    <xf numFmtId="10" fontId="103" fillId="0" borderId="0" xfId="49" applyNumberFormat="1" applyFont="1" applyAlignment="1">
      <alignment horizontal="center" vertical="center" wrapText="1"/>
    </xf>
    <xf numFmtId="0" fontId="103" fillId="0" borderId="0" xfId="0" applyFont="1" applyAlignment="1">
      <alignment horizontal="left"/>
    </xf>
    <xf numFmtId="0" fontId="101" fillId="10" borderId="0" xfId="0" applyFont="1" applyFill="1"/>
    <xf numFmtId="0" fontId="10" fillId="3" borderId="4" xfId="0" applyFont="1" applyFill="1" applyBorder="1"/>
    <xf numFmtId="0" fontId="108" fillId="4" borderId="4" xfId="0" applyFont="1" applyFill="1" applyBorder="1"/>
    <xf numFmtId="9" fontId="6" fillId="0" borderId="0" xfId="50" applyNumberFormat="1" applyFont="1" applyAlignment="1">
      <alignment horizontal="center"/>
    </xf>
    <xf numFmtId="10" fontId="6" fillId="0" borderId="0" xfId="49" applyNumberFormat="1" applyFont="1" applyAlignment="1">
      <alignment horizontal="center"/>
    </xf>
    <xf numFmtId="164" fontId="0" fillId="0" borderId="0" xfId="50" applyNumberFormat="1" applyFont="1" applyBorder="1"/>
    <xf numFmtId="164" fontId="19" fillId="0" borderId="0" xfId="50"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0" fontId="25" fillId="0" borderId="0" xfId="0" applyFont="1" applyAlignment="1">
      <alignment horizontal="center"/>
    </xf>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44" fontId="8" fillId="0" borderId="0" xfId="48" applyFont="1" applyAlignment="1">
      <alignment horizontal="center"/>
    </xf>
    <xf numFmtId="43" fontId="8" fillId="8" borderId="0" xfId="50" applyFont="1" applyFill="1"/>
    <xf numFmtId="0" fontId="24" fillId="0" borderId="0" xfId="35" applyFont="1"/>
    <xf numFmtId="43" fontId="8" fillId="0" borderId="0" xfId="50" applyFont="1"/>
    <xf numFmtId="181" fontId="24" fillId="0" borderId="0" xfId="24" applyNumberFormat="1" applyFont="1"/>
    <xf numFmtId="181" fontId="24" fillId="0" borderId="0" xfId="26" applyNumberFormat="1" applyFont="1"/>
    <xf numFmtId="44" fontId="8" fillId="0" borderId="0" xfId="22" applyNumberFormat="1" applyFont="1"/>
    <xf numFmtId="0" fontId="63" fillId="0" borderId="0" xfId="0" applyFont="1" applyBorder="1"/>
    <xf numFmtId="0" fontId="0" fillId="0" borderId="12" xfId="0" applyBorder="1"/>
    <xf numFmtId="43" fontId="8" fillId="8" borderId="12" xfId="50" applyFont="1" applyFill="1" applyBorder="1"/>
    <xf numFmtId="0" fontId="24" fillId="0" borderId="12" xfId="35" applyFont="1" applyBorder="1"/>
    <xf numFmtId="0" fontId="8" fillId="0" borderId="12" xfId="22" applyFont="1" applyBorder="1"/>
    <xf numFmtId="44" fontId="8" fillId="0" borderId="12" xfId="22" applyNumberFormat="1" applyFont="1" applyBorder="1"/>
    <xf numFmtId="164" fontId="0" fillId="0" borderId="0" xfId="0" applyNumberFormat="1" applyBorder="1"/>
    <xf numFmtId="164" fontId="12" fillId="0" borderId="0" xfId="8" applyNumberFormat="1" applyFont="1" applyFill="1"/>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4" fontId="13" fillId="0" borderId="1" xfId="1" applyNumberFormat="1" applyFont="1" applyFill="1" applyBorder="1" applyAlignment="1">
      <alignment horizontal="center"/>
    </xf>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3" fontId="8" fillId="0" borderId="1"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5" fillId="0" borderId="0" xfId="0" applyFont="1" applyFill="1"/>
    <xf numFmtId="0" fontId="25" fillId="0" borderId="0" xfId="0" applyFont="1" applyAlignment="1"/>
    <xf numFmtId="3" fontId="25" fillId="0" borderId="0" xfId="0" applyNumberFormat="1" applyFont="1" applyBorder="1" applyAlignment="1"/>
    <xf numFmtId="3" fontId="25" fillId="0" borderId="0" xfId="0" applyNumberFormat="1" applyFont="1" applyFill="1" applyBorder="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36" fillId="0" borderId="0" xfId="0" applyFont="1" applyFill="1" applyBorder="1" applyAlignment="1">
      <alignment horizontal="center"/>
    </xf>
    <xf numFmtId="0" fontId="25" fillId="0" borderId="19" xfId="0" applyFont="1" applyFill="1" applyBorder="1"/>
    <xf numFmtId="0" fontId="25" fillId="0" borderId="19" xfId="0" applyFont="1" applyFill="1" applyBorder="1" applyAlignment="1">
      <alignment horizontal="center"/>
    </xf>
    <xf numFmtId="0" fontId="25" fillId="0" borderId="0" xfId="0" applyFont="1" applyFill="1" applyBorder="1" applyAlignment="1">
      <alignment horizontal="center"/>
    </xf>
    <xf numFmtId="0" fontId="36" fillId="0" borderId="12" xfId="0" applyFont="1" applyFill="1" applyBorder="1" applyAlignment="1">
      <alignment horizontal="center"/>
    </xf>
    <xf numFmtId="0" fontId="25" fillId="0" borderId="0" xfId="0" applyNumberFormat="1" applyFont="1" applyFill="1" applyBorder="1" applyAlignment="1">
      <alignment horizontal="left"/>
    </xf>
    <xf numFmtId="0" fontId="25" fillId="0" borderId="0" xfId="0" applyFont="1" applyFill="1" applyAlignment="1">
      <alignment horizontal="right"/>
    </xf>
    <xf numFmtId="0" fontId="34"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0" fontId="36" fillId="0" borderId="0" xfId="0" applyFont="1" applyFill="1" applyBorder="1" applyAlignment="1">
      <alignment horizontal="center"/>
    </xf>
    <xf numFmtId="0" fontId="36" fillId="0" borderId="0" xfId="0" applyFont="1" applyFill="1" applyBorder="1" applyAlignment="1">
      <alignment horizontal="center"/>
    </xf>
    <xf numFmtId="3" fontId="25" fillId="0" borderId="12" xfId="0" applyNumberFormat="1" applyFont="1" applyFill="1" applyBorder="1" applyAlignment="1">
      <alignment horizontal="center"/>
    </xf>
    <xf numFmtId="0" fontId="0" fillId="0" borderId="0" xfId="0"/>
    <xf numFmtId="0" fontId="25" fillId="0" borderId="0" xfId="0" applyFont="1"/>
    <xf numFmtId="0" fontId="25" fillId="0" borderId="0" xfId="0" applyFont="1" applyAlignment="1">
      <alignment horizontal="center"/>
    </xf>
    <xf numFmtId="0" fontId="25" fillId="0" borderId="0" xfId="0" applyFont="1" applyAlignment="1"/>
    <xf numFmtId="0" fontId="25" fillId="0" borderId="0" xfId="0" applyNumberFormat="1" applyFont="1" applyAlignment="1">
      <alignment horizontal="center"/>
    </xf>
    <xf numFmtId="0" fontId="25" fillId="0" borderId="0" xfId="0" applyNumberFormat="1" applyFont="1" applyFill="1" applyBorder="1" applyAlignment="1"/>
    <xf numFmtId="0" fontId="33" fillId="0" borderId="0" xfId="0" applyNumberFormat="1" applyFont="1" applyFill="1"/>
    <xf numFmtId="10" fontId="33" fillId="0" borderId="0" xfId="0" applyNumberFormat="1" applyFont="1" applyFill="1"/>
    <xf numFmtId="0" fontId="25" fillId="0" borderId="0" xfId="0" applyNumberFormat="1" applyFont="1" applyFill="1"/>
    <xf numFmtId="168" fontId="25" fillId="0" borderId="0" xfId="0" applyNumberFormat="1" applyFont="1" applyAlignment="1"/>
    <xf numFmtId="173" fontId="25" fillId="0" borderId="0" xfId="50"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0" fillId="0" borderId="0" xfId="0"/>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5" fillId="0" borderId="0" xfId="0" applyNumberFormat="1" applyFont="1" applyBorder="1" applyAlignment="1">
      <alignment horizontal="right"/>
    </xf>
    <xf numFmtId="0" fontId="25" fillId="0" borderId="0" xfId="0" applyFont="1" applyFill="1" applyBorder="1" applyAlignment="1"/>
    <xf numFmtId="0" fontId="36" fillId="0" borderId="0" xfId="0" applyFont="1" applyFill="1" applyBorder="1" applyAlignment="1">
      <alignment horizontal="center"/>
    </xf>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7" fillId="0" borderId="0" xfId="0" applyNumberFormat="1" applyFont="1" applyFill="1" applyBorder="1" applyAlignment="1">
      <alignment horizontal="center"/>
    </xf>
    <xf numFmtId="3" fontId="37" fillId="0" borderId="0" xfId="0" applyNumberFormat="1" applyFont="1" applyBorder="1" applyAlignment="1"/>
    <xf numFmtId="0" fontId="36" fillId="0" borderId="0" xfId="0" applyFont="1" applyFill="1" applyBorder="1" applyAlignment="1">
      <alignment horizontal="center"/>
    </xf>
    <xf numFmtId="3" fontId="25" fillId="0" borderId="0" xfId="0" applyNumberFormat="1" applyFont="1"/>
    <xf numFmtId="0" fontId="36" fillId="0" borderId="12" xfId="0" applyFont="1" applyFill="1" applyBorder="1" applyAlignment="1">
      <alignment horizontal="center"/>
    </xf>
    <xf numFmtId="3" fontId="25" fillId="0" borderId="19" xfId="0" applyNumberFormat="1" applyFont="1" applyBorder="1" applyAlignment="1">
      <alignment horizontal="right"/>
    </xf>
    <xf numFmtId="0" fontId="25" fillId="0" borderId="12" xfId="0" applyFont="1" applyFill="1" applyBorder="1" applyAlignment="1"/>
    <xf numFmtId="3" fontId="36" fillId="0" borderId="0" xfId="0" applyNumberFormat="1" applyFont="1" applyBorder="1" applyAlignment="1">
      <alignment horizontal="right"/>
    </xf>
    <xf numFmtId="3" fontId="37" fillId="0" borderId="0" xfId="0" applyNumberFormat="1" applyFont="1" applyBorder="1" applyAlignment="1">
      <alignment horizontal="right"/>
    </xf>
    <xf numFmtId="3" fontId="25" fillId="10" borderId="0" xfId="0" applyNumberFormat="1" applyFont="1" applyFill="1"/>
    <xf numFmtId="3" fontId="36" fillId="0" borderId="12" xfId="0" applyNumberFormat="1" applyFont="1" applyBorder="1" applyAlignment="1">
      <alignment horizontal="right"/>
    </xf>
    <xf numFmtId="3" fontId="25" fillId="10" borderId="12" xfId="0" applyNumberFormat="1" applyFont="1" applyFill="1" applyBorder="1"/>
    <xf numFmtId="0" fontId="37" fillId="0" borderId="12" xfId="0" applyNumberFormat="1" applyFont="1" applyFill="1" applyBorder="1" applyAlignment="1">
      <alignment horizontal="center"/>
    </xf>
    <xf numFmtId="173"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37" fontId="34" fillId="0" borderId="0" xfId="0" applyNumberFormat="1" applyFont="1" applyBorder="1" applyAlignment="1">
      <alignment horizontal="left"/>
    </xf>
    <xf numFmtId="37" fontId="31" fillId="0" borderId="0" xfId="0" applyNumberFormat="1" applyFont="1" applyBorder="1" applyAlignment="1">
      <alignment horizontal="right"/>
    </xf>
    <xf numFmtId="168" fontId="25" fillId="0" borderId="0" xfId="0" applyNumberFormat="1" applyFont="1"/>
    <xf numFmtId="173" fontId="25" fillId="0" borderId="0" xfId="0" applyNumberFormat="1" applyFont="1"/>
    <xf numFmtId="9" fontId="12" fillId="0" borderId="0" xfId="2" applyFont="1" applyBorder="1" applyAlignment="1">
      <alignment horizontal="left"/>
    </xf>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5" fillId="0" borderId="12" xfId="0" applyNumberFormat="1" applyFont="1" applyBorder="1" applyAlignment="1">
      <alignment horizontal="center"/>
    </xf>
    <xf numFmtId="173" fontId="25" fillId="0" borderId="12" xfId="12" applyNumberFormat="1" applyFont="1" applyFill="1" applyBorder="1" applyAlignment="1"/>
    <xf numFmtId="0" fontId="63" fillId="4" borderId="3" xfId="0" applyFont="1" applyFill="1" applyBorder="1" applyAlignment="1">
      <alignment horizontal="center"/>
    </xf>
    <xf numFmtId="0" fontId="69" fillId="0" borderId="0" xfId="29" applyNumberFormat="1" applyFont="1" applyAlignment="1" applyProtection="1">
      <alignment horizontal="center"/>
      <protection locked="0"/>
    </xf>
    <xf numFmtId="168" fontId="70" fillId="0" borderId="19" xfId="29" applyFont="1" applyBorder="1"/>
    <xf numFmtId="168" fontId="70" fillId="0" borderId="21" xfId="29" applyFont="1" applyBorder="1" applyAlignment="1">
      <alignment horizontal="center" wrapText="1"/>
    </xf>
    <xf numFmtId="0" fontId="69" fillId="0" borderId="0" xfId="53" applyNumberFormat="1" applyFont="1" applyAlignment="1" applyProtection="1">
      <alignment horizontal="center"/>
      <protection locked="0"/>
    </xf>
    <xf numFmtId="43" fontId="69" fillId="10" borderId="30" xfId="8" applyNumberFormat="1" applyFont="1" applyFill="1" applyBorder="1"/>
    <xf numFmtId="164" fontId="69" fillId="10" borderId="33" xfId="8" applyNumberFormat="1" applyFont="1" applyFill="1" applyBorder="1" applyAlignment="1">
      <alignment horizontal="center"/>
    </xf>
    <xf numFmtId="168" fontId="69" fillId="0" borderId="0" xfId="29" applyFont="1"/>
    <xf numFmtId="0" fontId="69"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69" fillId="10" borderId="27" xfId="0" applyFont="1" applyFill="1" applyBorder="1"/>
    <xf numFmtId="0" fontId="69" fillId="0" borderId="25" xfId="0" applyFont="1" applyFill="1" applyBorder="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5" fillId="8" borderId="0" xfId="0" applyFont="1" applyFill="1" applyAlignment="1">
      <alignment horizontal="center"/>
    </xf>
    <xf numFmtId="0" fontId="65" fillId="8" borderId="0" xfId="0" applyFont="1" applyFill="1" applyAlignment="1">
      <alignment horizontal="left"/>
    </xf>
    <xf numFmtId="2" fontId="65" fillId="8" borderId="0" xfId="0" applyNumberFormat="1" applyFont="1" applyFill="1" applyAlignment="1">
      <alignment horizontal="center"/>
    </xf>
    <xf numFmtId="164" fontId="65" fillId="8" borderId="0" xfId="8" applyNumberFormat="1" applyFont="1" applyFill="1" applyBorder="1"/>
    <xf numFmtId="164" fontId="41" fillId="8" borderId="0" xfId="8" applyNumberFormat="1" applyFont="1" applyFill="1" applyBorder="1" applyAlignment="1">
      <alignment horizontal="center"/>
    </xf>
    <xf numFmtId="164" fontId="65" fillId="8" borderId="0" xfId="0" applyNumberFormat="1" applyFont="1" applyFill="1"/>
    <xf numFmtId="0" fontId="41" fillId="8" borderId="0" xfId="0" applyFont="1" applyFill="1" applyAlignment="1">
      <alignment horizontal="center"/>
    </xf>
    <xf numFmtId="0" fontId="65" fillId="8" borderId="6" xfId="0" applyFont="1" applyFill="1" applyBorder="1" applyAlignment="1">
      <alignment horizontal="center"/>
    </xf>
    <xf numFmtId="0" fontId="41" fillId="8" borderId="0" xfId="0" applyFont="1" applyFill="1" applyAlignment="1">
      <alignment horizontal="left"/>
    </xf>
    <xf numFmtId="1" fontId="65" fillId="8" borderId="0" xfId="0" applyNumberFormat="1" applyFont="1" applyFill="1" applyAlignment="1">
      <alignment horizontal="center"/>
    </xf>
    <xf numFmtId="37" fontId="65" fillId="8" borderId="0" xfId="0" applyNumberFormat="1" applyFont="1" applyFill="1"/>
    <xf numFmtId="0" fontId="65" fillId="8" borderId="0" xfId="0" applyFont="1" applyFill="1"/>
    <xf numFmtId="0" fontId="65" fillId="8" borderId="6" xfId="0" applyFont="1" applyFill="1" applyBorder="1"/>
    <xf numFmtId="0" fontId="41" fillId="8" borderId="12" xfId="0" applyFont="1" applyFill="1" applyBorder="1" applyAlignment="1">
      <alignment horizontal="left"/>
    </xf>
    <xf numFmtId="0" fontId="41" fillId="8" borderId="12" xfId="0" applyFont="1" applyFill="1" applyBorder="1" applyAlignment="1">
      <alignment horizontal="center"/>
    </xf>
    <xf numFmtId="164" fontId="41" fillId="8" borderId="12" xfId="8" applyNumberFormat="1" applyFont="1" applyFill="1" applyBorder="1" applyAlignment="1">
      <alignment horizontal="center"/>
    </xf>
    <xf numFmtId="0" fontId="109" fillId="8" borderId="0" xfId="0" applyFont="1" applyFill="1" applyAlignment="1">
      <alignment horizontal="left"/>
    </xf>
    <xf numFmtId="164" fontId="65" fillId="8" borderId="0" xfId="8" applyNumberFormat="1" applyFont="1" applyFill="1" applyBorder="1" applyAlignment="1">
      <alignment horizontal="center"/>
    </xf>
    <xf numFmtId="166" fontId="65" fillId="10" borderId="0" xfId="62" applyNumberFormat="1" applyFont="1" applyFill="1" applyBorder="1"/>
    <xf numFmtId="166" fontId="65" fillId="8" borderId="0" xfId="62" applyNumberFormat="1" applyFont="1" applyFill="1" applyBorder="1" applyAlignment="1">
      <alignment horizontal="center"/>
    </xf>
    <xf numFmtId="10" fontId="65" fillId="10" borderId="0" xfId="155" applyNumberFormat="1" applyFont="1" applyFill="1" applyBorder="1" applyAlignment="1">
      <alignment horizontal="center"/>
    </xf>
    <xf numFmtId="164" fontId="65" fillId="8" borderId="0" xfId="8" quotePrefix="1" applyNumberFormat="1" applyFont="1" applyFill="1" applyBorder="1" applyAlignment="1">
      <alignment horizontal="center"/>
    </xf>
    <xf numFmtId="166" fontId="65" fillId="8" borderId="0" xfId="62" applyNumberFormat="1" applyFont="1" applyFill="1" applyBorder="1"/>
    <xf numFmtId="0" fontId="32" fillId="8" borderId="0" xfId="8" applyNumberFormat="1" applyFont="1" applyFill="1" applyBorder="1" applyAlignment="1"/>
    <xf numFmtId="0" fontId="32" fillId="8" borderId="6" xfId="8" applyNumberFormat="1" applyFont="1" applyFill="1" applyBorder="1" applyAlignment="1"/>
    <xf numFmtId="0" fontId="65" fillId="8" borderId="0" xfId="0" applyFont="1" applyFill="1" applyAlignment="1">
      <alignment horizontal="left" indent="1"/>
    </xf>
    <xf numFmtId="164" fontId="65" fillId="10" borderId="0" xfId="8" applyNumberFormat="1" applyFont="1" applyFill="1" applyBorder="1"/>
    <xf numFmtId="0" fontId="32" fillId="8" borderId="0" xfId="62" applyNumberFormat="1" applyFont="1" applyFill="1" applyBorder="1" applyAlignment="1"/>
    <xf numFmtId="0" fontId="32" fillId="8" borderId="6" xfId="62" applyNumberFormat="1" applyFont="1" applyFill="1" applyBorder="1" applyAlignment="1"/>
    <xf numFmtId="0" fontId="32" fillId="0" borderId="0" xfId="0" applyFont="1" applyAlignment="1">
      <alignment horizontal="left" indent="1"/>
    </xf>
    <xf numFmtId="0" fontId="41" fillId="8" borderId="0" xfId="0" applyFont="1" applyFill="1" applyAlignment="1">
      <alignment horizontal="left" vertical="top"/>
    </xf>
    <xf numFmtId="166" fontId="65" fillId="8" borderId="20" xfId="62" applyNumberFormat="1" applyFont="1" applyFill="1" applyBorder="1"/>
    <xf numFmtId="0" fontId="65" fillId="8" borderId="1" xfId="0" applyFont="1" applyFill="1" applyBorder="1" applyAlignment="1">
      <alignment horizontal="center"/>
    </xf>
    <xf numFmtId="164" fontId="65" fillId="8" borderId="1" xfId="8" applyNumberFormat="1" applyFont="1" applyFill="1" applyBorder="1"/>
    <xf numFmtId="164" fontId="65" fillId="8" borderId="1" xfId="0" applyNumberFormat="1" applyFont="1" applyFill="1" applyBorder="1"/>
    <xf numFmtId="0" fontId="41" fillId="8" borderId="1" xfId="0" applyFont="1" applyFill="1" applyBorder="1" applyAlignment="1">
      <alignment horizontal="center"/>
    </xf>
    <xf numFmtId="0" fontId="65" fillId="8" borderId="8" xfId="0" applyFont="1" applyFill="1" applyBorder="1" applyAlignment="1">
      <alignment horizontal="center"/>
    </xf>
    <xf numFmtId="3" fontId="69" fillId="0" borderId="0" xfId="33" applyNumberFormat="1" applyFont="1" applyAlignment="1">
      <alignment wrapText="1"/>
    </xf>
    <xf numFmtId="43" fontId="12" fillId="0" borderId="0" xfId="0" applyNumberFormat="1" applyFont="1" applyBorder="1"/>
    <xf numFmtId="0" fontId="25" fillId="0" borderId="0" xfId="0" applyFont="1" applyAlignment="1">
      <alignment horizontal="center"/>
    </xf>
    <xf numFmtId="0" fontId="65" fillId="8" borderId="5" xfId="0" applyFont="1" applyFill="1" applyBorder="1" applyAlignment="1">
      <alignment horizontal="center"/>
    </xf>
    <xf numFmtId="0" fontId="65" fillId="8" borderId="35" xfId="0" applyFont="1" applyFill="1" applyBorder="1" applyAlignment="1">
      <alignment horizontal="left"/>
    </xf>
    <xf numFmtId="0" fontId="109" fillId="8" borderId="5" xfId="0" applyFont="1" applyFill="1" applyBorder="1" applyAlignment="1">
      <alignment horizontal="left"/>
    </xf>
    <xf numFmtId="0" fontId="65" fillId="8" borderId="5" xfId="0" applyFont="1" applyFill="1" applyBorder="1" applyAlignment="1">
      <alignment horizontal="left" vertical="center"/>
    </xf>
    <xf numFmtId="0" fontId="65" fillId="8" borderId="7" xfId="0" applyFont="1" applyFill="1" applyBorder="1" applyAlignment="1">
      <alignment horizontal="left" vertical="center"/>
    </xf>
    <xf numFmtId="0" fontId="66" fillId="0" borderId="0" xfId="0" applyFont="1"/>
    <xf numFmtId="0" fontId="66" fillId="0" borderId="0" xfId="0" applyFont="1" applyAlignment="1">
      <alignment horizontal="center"/>
    </xf>
    <xf numFmtId="0" fontId="90" fillId="0" borderId="0" xfId="0" applyFont="1" applyAlignment="1">
      <alignment horizontal="center"/>
    </xf>
    <xf numFmtId="0" fontId="47" fillId="0" borderId="0" xfId="0" applyFont="1" applyAlignment="1">
      <alignment horizontal="center"/>
    </xf>
    <xf numFmtId="0" fontId="66" fillId="0" borderId="0" xfId="0" applyFont="1" applyAlignment="1">
      <alignment horizontal="center" vertical="center" wrapText="1"/>
    </xf>
    <xf numFmtId="0" fontId="66" fillId="0" borderId="33" xfId="0" applyFont="1" applyBorder="1" applyAlignment="1">
      <alignment horizontal="center" vertical="center"/>
    </xf>
    <xf numFmtId="0" fontId="47" fillId="0" borderId="12" xfId="0" applyFont="1" applyBorder="1" applyAlignment="1">
      <alignment horizontal="center" vertical="center"/>
    </xf>
    <xf numFmtId="0" fontId="47" fillId="0" borderId="25" xfId="0" applyFont="1" applyBorder="1" applyAlignment="1">
      <alignment horizontal="center" vertical="center" wrapText="1"/>
    </xf>
    <xf numFmtId="164" fontId="47" fillId="10" borderId="0" xfId="50" applyNumberFormat="1" applyFont="1" applyFill="1" applyBorder="1" applyAlignment="1">
      <alignment vertical="center" wrapText="1"/>
    </xf>
    <xf numFmtId="15" fontId="47" fillId="0" borderId="0" xfId="0" applyNumberFormat="1" applyFont="1" applyAlignment="1">
      <alignment horizontal="left" vertical="center" wrapText="1" indent="1"/>
    </xf>
    <xf numFmtId="164" fontId="47" fillId="10" borderId="0" xfId="50" applyNumberFormat="1" applyFont="1" applyFill="1" applyBorder="1" applyAlignment="1">
      <alignment horizontal="right" vertical="center" wrapText="1"/>
    </xf>
    <xf numFmtId="10" fontId="47" fillId="0" borderId="0" xfId="49" applyNumberFormat="1" applyFont="1" applyFill="1"/>
    <xf numFmtId="164" fontId="47" fillId="0" borderId="0" xfId="50" applyNumberFormat="1" applyFont="1" applyFill="1" applyBorder="1" applyAlignment="1">
      <alignment horizontal="right" vertical="center" wrapText="1"/>
    </xf>
    <xf numFmtId="164" fontId="47" fillId="0" borderId="0" xfId="50" applyNumberFormat="1" applyFont="1" applyFill="1" applyBorder="1" applyAlignment="1">
      <alignment vertical="center" wrapText="1"/>
    </xf>
    <xf numFmtId="15" fontId="47" fillId="0" borderId="12" xfId="0" applyNumberFormat="1" applyFont="1" applyBorder="1" applyAlignment="1">
      <alignment horizontal="left" vertical="center" wrapText="1" indent="1"/>
    </xf>
    <xf numFmtId="0" fontId="47" fillId="10" borderId="0" xfId="50" applyNumberFormat="1" applyFont="1" applyFill="1" applyBorder="1" applyAlignment="1">
      <alignment horizontal="right" vertical="center" wrapText="1"/>
    </xf>
    <xf numFmtId="3" fontId="8" fillId="0" borderId="0" xfId="0" applyNumberFormat="1" applyFont="1"/>
    <xf numFmtId="164" fontId="47" fillId="0" borderId="19" xfId="50" applyNumberFormat="1" applyFont="1" applyFill="1" applyBorder="1" applyAlignment="1">
      <alignment vertical="center" wrapText="1"/>
    </xf>
    <xf numFmtId="0" fontId="47" fillId="0" borderId="19" xfId="0" applyFont="1" applyBorder="1" applyAlignment="1">
      <alignment vertical="center" wrapText="1"/>
    </xf>
    <xf numFmtId="0" fontId="47" fillId="0" borderId="19" xfId="0" applyFont="1" applyBorder="1" applyAlignment="1">
      <alignment horizontal="right" vertical="center" wrapText="1"/>
    </xf>
    <xf numFmtId="0" fontId="47" fillId="0" borderId="0" xfId="50" applyNumberFormat="1" applyFont="1" applyFill="1" applyBorder="1" applyAlignment="1">
      <alignment horizontal="right" vertical="center" wrapText="1"/>
    </xf>
    <xf numFmtId="164" fontId="47" fillId="0" borderId="19" xfId="50" applyNumberFormat="1" applyFont="1" applyFill="1" applyBorder="1" applyAlignment="1">
      <alignment horizontal="right" vertical="center" wrapText="1"/>
    </xf>
    <xf numFmtId="0" fontId="47" fillId="0" borderId="0" xfId="0" applyFont="1" applyAlignment="1">
      <alignment vertical="center" wrapText="1"/>
    </xf>
    <xf numFmtId="0" fontId="47" fillId="0" borderId="0" xfId="0" applyFont="1" applyAlignment="1">
      <alignment horizontal="right" vertical="center" wrapText="1"/>
    </xf>
    <xf numFmtId="0" fontId="47" fillId="0" borderId="0" xfId="0" applyFont="1" applyAlignment="1">
      <alignment horizontal="justify" vertical="center" wrapText="1"/>
    </xf>
    <xf numFmtId="0" fontId="47" fillId="0" borderId="0" xfId="0" quotePrefix="1" applyFont="1" applyAlignment="1">
      <alignment vertical="center"/>
    </xf>
    <xf numFmtId="0" fontId="110" fillId="10" borderId="0" xfId="0" applyFont="1" applyFill="1" applyAlignment="1">
      <alignment vertical="center" wrapText="1"/>
    </xf>
    <xf numFmtId="164" fontId="47" fillId="10" borderId="12" xfId="50" applyNumberFormat="1" applyFont="1" applyFill="1" applyBorder="1" applyAlignment="1">
      <alignment vertical="center" wrapText="1"/>
    </xf>
    <xf numFmtId="0" fontId="47" fillId="0" borderId="0" xfId="0" applyFont="1" applyAlignment="1">
      <alignment horizontal="right" vertical="center"/>
    </xf>
    <xf numFmtId="164" fontId="111" fillId="0" borderId="0" xfId="50" applyNumberFormat="1" applyFont="1" applyFill="1" applyBorder="1" applyAlignment="1">
      <alignment vertical="center" wrapText="1"/>
    </xf>
    <xf numFmtId="0" fontId="66" fillId="0" borderId="0" xfId="0" applyFont="1" applyAlignment="1">
      <alignment vertical="center"/>
    </xf>
    <xf numFmtId="164" fontId="47" fillId="0" borderId="34" xfId="50" applyNumberFormat="1" applyFont="1" applyFill="1" applyBorder="1" applyAlignment="1">
      <alignment vertical="center" wrapText="1"/>
    </xf>
    <xf numFmtId="0" fontId="66" fillId="0" borderId="12" xfId="0" quotePrefix="1" applyFont="1" applyBorder="1" applyAlignment="1">
      <alignment vertical="center"/>
    </xf>
    <xf numFmtId="0" fontId="66" fillId="0" borderId="12" xfId="0" applyFont="1" applyBorder="1" applyAlignment="1">
      <alignment vertical="center"/>
    </xf>
    <xf numFmtId="43" fontId="47" fillId="0" borderId="0" xfId="0" applyNumberFormat="1" applyFont="1"/>
    <xf numFmtId="0" fontId="112" fillId="12" borderId="0" xfId="0" applyFont="1" applyFill="1"/>
    <xf numFmtId="0" fontId="112"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9" applyFont="1"/>
    <xf numFmtId="0" fontId="8" fillId="0" borderId="0" xfId="19" applyFont="1" applyAlignment="1">
      <alignment horizontal="left"/>
    </xf>
    <xf numFmtId="0" fontId="9" fillId="0" borderId="0" xfId="16" applyFont="1" applyAlignment="1">
      <alignment horizontal="center"/>
    </xf>
    <xf numFmtId="164" fontId="8" fillId="10" borderId="0" xfId="50" applyNumberFormat="1" applyFont="1" applyFill="1"/>
    <xf numFmtId="164" fontId="8" fillId="0" borderId="12" xfId="50" applyNumberFormat="1" applyFont="1" applyFill="1" applyBorder="1"/>
    <xf numFmtId="164" fontId="8" fillId="0" borderId="0" xfId="19" applyNumberFormat="1" applyFont="1"/>
    <xf numFmtId="164" fontId="8" fillId="0" borderId="0" xfId="20" applyNumberFormat="1" applyFont="1" applyFill="1"/>
    <xf numFmtId="164" fontId="8" fillId="2" borderId="0" xfId="50" applyNumberFormat="1" applyFont="1" applyFill="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6" fillId="0" borderId="32" xfId="16" applyFont="1" applyBorder="1"/>
    <xf numFmtId="41" fontId="8" fillId="0" borderId="23" xfId="0" applyNumberFormat="1" applyFont="1" applyBorder="1"/>
    <xf numFmtId="0" fontId="66" fillId="0" borderId="22" xfId="16" applyFont="1" applyBorder="1"/>
    <xf numFmtId="0" fontId="47" fillId="10" borderId="22" xfId="16" applyFont="1" applyFill="1" applyBorder="1"/>
    <xf numFmtId="41" fontId="8" fillId="10" borderId="23" xfId="0" applyNumberFormat="1" applyFont="1" applyFill="1" applyBorder="1"/>
    <xf numFmtId="0" fontId="113" fillId="2" borderId="23" xfId="16" applyFont="1" applyFill="1" applyBorder="1" applyAlignment="1">
      <alignment wrapText="1"/>
    </xf>
    <xf numFmtId="0" fontId="8" fillId="0" borderId="23" xfId="19" applyFont="1" applyBorder="1"/>
    <xf numFmtId="10" fontId="8" fillId="2" borderId="0" xfId="49" applyNumberFormat="1" applyFont="1" applyFill="1"/>
    <xf numFmtId="0" fontId="47" fillId="10" borderId="32" xfId="16" applyFont="1" applyFill="1" applyBorder="1"/>
    <xf numFmtId="0" fontId="66" fillId="0" borderId="29" xfId="16" applyFont="1" applyBorder="1"/>
    <xf numFmtId="0" fontId="8" fillId="0" borderId="24" xfId="19" applyFont="1" applyBorder="1"/>
    <xf numFmtId="0" fontId="9" fillId="0" borderId="23" xfId="19" applyFont="1" applyBorder="1"/>
    <xf numFmtId="0" fontId="8" fillId="2" borderId="23" xfId="0" applyFont="1" applyFill="1" applyBorder="1" applyAlignment="1">
      <alignment vertical="top" wrapText="1"/>
    </xf>
    <xf numFmtId="0" fontId="51" fillId="6" borderId="0" xfId="0" applyFont="1" applyFill="1" applyAlignment="1">
      <alignment horizontal="left"/>
    </xf>
    <xf numFmtId="0" fontId="25" fillId="6" borderId="0" xfId="0" applyFont="1" applyFill="1" applyAlignment="1">
      <alignment horizontal="center"/>
    </xf>
    <xf numFmtId="0" fontId="47" fillId="0" borderId="0" xfId="0" applyFont="1" applyAlignment="1">
      <alignment vertical="center"/>
    </xf>
    <xf numFmtId="0" fontId="66" fillId="0" borderId="32" xfId="0" applyFont="1" applyBorder="1" applyAlignment="1">
      <alignment vertical="center"/>
    </xf>
    <xf numFmtId="0" fontId="47" fillId="0" borderId="26" xfId="0" applyFont="1" applyBorder="1" applyAlignment="1">
      <alignment vertical="center" wrapText="1"/>
    </xf>
    <xf numFmtId="0" fontId="66" fillId="0" borderId="32" xfId="0" applyFont="1" applyBorder="1" applyAlignment="1">
      <alignment horizontal="left" vertical="center" indent="1"/>
    </xf>
    <xf numFmtId="0" fontId="47" fillId="0" borderId="26" xfId="0" applyFont="1" applyBorder="1"/>
    <xf numFmtId="0" fontId="66" fillId="0" borderId="23" xfId="0" applyFont="1" applyBorder="1" applyAlignment="1">
      <alignment horizontal="center" wrapText="1"/>
    </xf>
    <xf numFmtId="0" fontId="66" fillId="0" borderId="22" xfId="0" applyFont="1" applyBorder="1" applyAlignment="1">
      <alignment vertical="center"/>
    </xf>
    <xf numFmtId="0" fontId="47" fillId="0" borderId="24" xfId="0" applyFont="1" applyBorder="1" applyAlignment="1">
      <alignment vertical="center" wrapText="1"/>
    </xf>
    <xf numFmtId="0" fontId="66" fillId="0" borderId="22" xfId="0" applyFont="1" applyBorder="1" applyAlignment="1">
      <alignment horizontal="left" vertical="center" indent="1"/>
    </xf>
    <xf numFmtId="0" fontId="47" fillId="0" borderId="24" xfId="0" applyFont="1" applyBorder="1"/>
    <xf numFmtId="0" fontId="47" fillId="0" borderId="0" xfId="0" applyFont="1" applyAlignment="1">
      <alignment horizontal="left" indent="1"/>
    </xf>
    <xf numFmtId="3" fontId="8" fillId="0" borderId="0" xfId="0" applyNumberFormat="1" applyFont="1" applyAlignment="1">
      <alignment horizontal="left" indent="1"/>
    </xf>
    <xf numFmtId="166" fontId="47" fillId="0" borderId="0" xfId="48" applyNumberFormat="1" applyFont="1" applyFill="1"/>
    <xf numFmtId="166" fontId="47" fillId="10" borderId="0" xfId="48" applyNumberFormat="1" applyFont="1" applyFill="1"/>
    <xf numFmtId="164" fontId="47" fillId="10" borderId="0" xfId="0" applyNumberFormat="1" applyFont="1" applyFill="1"/>
    <xf numFmtId="166" fontId="47" fillId="0" borderId="0" xfId="48" applyNumberFormat="1" applyFont="1"/>
    <xf numFmtId="166" fontId="66" fillId="0" borderId="21" xfId="48" applyNumberFormat="1" applyFont="1" applyBorder="1"/>
    <xf numFmtId="3" fontId="8" fillId="0" borderId="0" xfId="0" applyNumberFormat="1" applyFont="1" applyAlignment="1">
      <alignment horizontal="left"/>
    </xf>
    <xf numFmtId="0" fontId="92" fillId="0" borderId="0" xfId="0" applyFont="1" applyAlignment="1">
      <alignment horizontal="left"/>
    </xf>
    <xf numFmtId="0" fontId="47" fillId="0" borderId="0" xfId="0" quotePrefix="1" applyFont="1"/>
    <xf numFmtId="0" fontId="47" fillId="10" borderId="0" xfId="0" quotePrefix="1" applyFont="1" applyFill="1"/>
    <xf numFmtId="0" fontId="47" fillId="0" borderId="0" xfId="0" applyFont="1" applyAlignment="1">
      <alignment horizontal="center" vertical="center"/>
    </xf>
    <xf numFmtId="0" fontId="47" fillId="0" borderId="12" xfId="0" quotePrefix="1" applyFont="1" applyBorder="1" applyAlignment="1">
      <alignment horizontal="center" vertical="center" wrapText="1"/>
    </xf>
    <xf numFmtId="164" fontId="47" fillId="0" borderId="0" xfId="0" applyNumberFormat="1" applyFont="1"/>
    <xf numFmtId="164" fontId="66" fillId="0" borderId="12" xfId="0" applyNumberFormat="1" applyFont="1" applyBorder="1"/>
    <xf numFmtId="164" fontId="47" fillId="0" borderId="0" xfId="0" applyNumberFormat="1" applyFont="1" applyAlignment="1">
      <alignment horizontal="center"/>
    </xf>
    <xf numFmtId="42" fontId="47" fillId="0" borderId="0" xfId="0" applyNumberFormat="1" applyFont="1"/>
    <xf numFmtId="166" fontId="47" fillId="0" borderId="0" xfId="0" applyNumberFormat="1" applyFont="1"/>
    <xf numFmtId="164" fontId="110" fillId="0" borderId="0" xfId="50" applyNumberFormat="1" applyFont="1" applyFill="1"/>
    <xf numFmtId="164" fontId="47" fillId="10" borderId="0" xfId="50" applyNumberFormat="1" applyFont="1" applyFill="1"/>
    <xf numFmtId="0" fontId="47" fillId="0" borderId="12" xfId="0" applyFont="1" applyBorder="1"/>
    <xf numFmtId="166" fontId="47" fillId="0" borderId="34" xfId="48" applyNumberFormat="1" applyFont="1" applyBorder="1"/>
    <xf numFmtId="44" fontId="47" fillId="0" borderId="0" xfId="0" applyNumberFormat="1" applyFont="1"/>
    <xf numFmtId="15" fontId="47" fillId="0" borderId="0" xfId="0" quotePrefix="1" applyNumberFormat="1" applyFont="1"/>
    <xf numFmtId="166" fontId="47" fillId="0" borderId="19" xfId="48" applyNumberFormat="1" applyFont="1" applyBorder="1"/>
    <xf numFmtId="166" fontId="47" fillId="0" borderId="21" xfId="48" applyNumberFormat="1" applyFont="1" applyBorder="1"/>
    <xf numFmtId="43" fontId="47" fillId="10" borderId="0" xfId="50" applyFont="1" applyFill="1"/>
    <xf numFmtId="166" fontId="47" fillId="0" borderId="20" xfId="48" applyNumberFormat="1" applyFont="1" applyBorder="1"/>
    <xf numFmtId="164" fontId="47" fillId="0" borderId="0" xfId="50" applyNumberFormat="1" applyFont="1"/>
    <xf numFmtId="0" fontId="8" fillId="0" borderId="0" xfId="0" applyFont="1" applyAlignment="1">
      <alignment vertical="top" wrapText="1"/>
    </xf>
    <xf numFmtId="0" fontId="47" fillId="0" borderId="0" xfId="154"/>
    <xf numFmtId="0" fontId="47" fillId="0" borderId="0" xfId="154" applyAlignment="1">
      <alignment horizontal="center"/>
    </xf>
    <xf numFmtId="0" fontId="47" fillId="0" borderId="0" xfId="154" applyAlignment="1">
      <alignment horizontal="left"/>
    </xf>
    <xf numFmtId="0" fontId="90" fillId="0" borderId="0" xfId="154" applyFont="1"/>
    <xf numFmtId="0" fontId="90" fillId="0" borderId="0" xfId="154" applyFont="1" applyAlignment="1">
      <alignment horizontal="left"/>
    </xf>
    <xf numFmtId="0" fontId="114" fillId="0" borderId="0" xfId="154" applyFont="1"/>
    <xf numFmtId="0" fontId="90" fillId="0" borderId="0" xfId="154" applyFont="1" applyAlignment="1">
      <alignment horizontal="center"/>
    </xf>
    <xf numFmtId="0" fontId="8" fillId="0" borderId="0" xfId="154" applyFont="1"/>
    <xf numFmtId="0" fontId="92" fillId="0" borderId="12" xfId="0" applyFont="1" applyBorder="1" applyAlignment="1">
      <alignment horizontal="center" wrapText="1"/>
    </xf>
    <xf numFmtId="0" fontId="92" fillId="0" borderId="12" xfId="0" applyFont="1" applyBorder="1" applyAlignment="1">
      <alignment horizontal="left" wrapText="1"/>
    </xf>
    <xf numFmtId="0" fontId="112" fillId="0" borderId="0" xfId="154" applyFont="1" applyAlignment="1">
      <alignment horizontal="left"/>
    </xf>
    <xf numFmtId="0" fontId="92" fillId="0" borderId="0" xfId="0" applyFont="1" applyAlignment="1">
      <alignment horizontal="left" wrapText="1" indent="1"/>
    </xf>
    <xf numFmtId="0" fontId="92" fillId="0" borderId="0" xfId="0" applyFont="1" applyAlignment="1">
      <alignment horizontal="center" wrapText="1"/>
    </xf>
    <xf numFmtId="0" fontId="112" fillId="0" borderId="0" xfId="154" applyFont="1" applyAlignment="1">
      <alignment horizontal="center" wrapText="1"/>
    </xf>
    <xf numFmtId="0" fontId="117" fillId="0" borderId="0" xfId="154" applyFont="1"/>
    <xf numFmtId="0" fontId="92" fillId="0" borderId="0" xfId="0" applyFont="1" applyAlignment="1">
      <alignment horizontal="left" wrapText="1"/>
    </xf>
    <xf numFmtId="0" fontId="118" fillId="0" borderId="0" xfId="0" applyFont="1"/>
    <xf numFmtId="0" fontId="65" fillId="0" borderId="0" xfId="0" applyFont="1" applyAlignment="1">
      <alignment horizontal="center"/>
    </xf>
    <xf numFmtId="164" fontId="65" fillId="10" borderId="0" xfId="0" applyNumberFormat="1" applyFont="1" applyFill="1"/>
    <xf numFmtId="42" fontId="65" fillId="10" borderId="0" xfId="50" applyNumberFormat="1" applyFont="1" applyFill="1" applyBorder="1"/>
    <xf numFmtId="42" fontId="65" fillId="0" borderId="0" xfId="50" applyNumberFormat="1" applyFont="1" applyFill="1" applyBorder="1"/>
    <xf numFmtId="164" fontId="0" fillId="0" borderId="0" xfId="153" applyNumberFormat="1" applyFont="1" applyFill="1" applyBorder="1" applyProtection="1">
      <protection locked="0"/>
    </xf>
    <xf numFmtId="164" fontId="65"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5" fillId="10" borderId="0" xfId="50" applyNumberFormat="1" applyFont="1" applyFill="1" applyBorder="1"/>
    <xf numFmtId="164" fontId="65" fillId="0" borderId="0" xfId="50" applyNumberFormat="1" applyFont="1" applyFill="1" applyBorder="1"/>
    <xf numFmtId="164" fontId="0" fillId="0" borderId="0" xfId="50" applyNumberFormat="1" applyFont="1" applyFill="1" applyBorder="1" applyProtection="1">
      <protection locked="0"/>
    </xf>
    <xf numFmtId="164" fontId="47" fillId="0" borderId="0" xfId="50" applyNumberFormat="1" applyFont="1" applyFill="1" applyProtection="1"/>
    <xf numFmtId="164" fontId="92" fillId="0" borderId="0" xfId="0" applyNumberFormat="1" applyFont="1"/>
    <xf numFmtId="42" fontId="92" fillId="0" borderId="19" xfId="50" applyNumberFormat="1" applyFont="1" applyFill="1" applyBorder="1"/>
    <xf numFmtId="0" fontId="120" fillId="0" borderId="0" xfId="154" applyFont="1" applyAlignment="1">
      <alignment horizontal="left"/>
    </xf>
    <xf numFmtId="0" fontId="120" fillId="0" borderId="0" xfId="154" applyFont="1" applyAlignment="1">
      <alignment horizontal="center"/>
    </xf>
    <xf numFmtId="0" fontId="66" fillId="0" borderId="0" xfId="154" applyFont="1" applyAlignment="1">
      <alignment horizontal="left"/>
    </xf>
    <xf numFmtId="42" fontId="92" fillId="0" borderId="20" xfId="0" applyNumberFormat="1" applyFont="1" applyBorder="1"/>
    <xf numFmtId="164" fontId="47" fillId="0" borderId="0" xfId="0" applyNumberFormat="1" applyFont="1" applyAlignment="1">
      <alignment horizontal="right"/>
    </xf>
    <xf numFmtId="166" fontId="65" fillId="0" borderId="0" xfId="48" applyNumberFormat="1" applyFont="1" applyFill="1"/>
    <xf numFmtId="0" fontId="47" fillId="0" borderId="0" xfId="0" applyFont="1" applyAlignment="1">
      <alignment horizontal="right"/>
    </xf>
    <xf numFmtId="164" fontId="65" fillId="0" borderId="0" xfId="50" applyNumberFormat="1" applyFont="1" applyFill="1"/>
    <xf numFmtId="0" fontId="66" fillId="0" borderId="0" xfId="0" applyFont="1" applyAlignment="1">
      <alignment horizontal="right"/>
    </xf>
    <xf numFmtId="166" fontId="65" fillId="0" borderId="19" xfId="48" applyNumberFormat="1" applyFont="1" applyFill="1" applyBorder="1"/>
    <xf numFmtId="0" fontId="11" fillId="0" borderId="0" xfId="154" applyFont="1" applyAlignment="1">
      <alignment horizontal="left"/>
    </xf>
    <xf numFmtId="166" fontId="65" fillId="0" borderId="20" xfId="48" applyNumberFormat="1" applyFont="1" applyFill="1" applyBorder="1"/>
    <xf numFmtId="0" fontId="8" fillId="0" borderId="0" xfId="154" applyFont="1" applyAlignment="1">
      <alignment horizontal="left"/>
    </xf>
    <xf numFmtId="0" fontId="66" fillId="0" borderId="0" xfId="0" applyFont="1" applyAlignment="1">
      <alignment horizontal="left"/>
    </xf>
    <xf numFmtId="164" fontId="47" fillId="0" borderId="0" xfId="8" applyNumberFormat="1" applyFont="1" applyFill="1" applyBorder="1"/>
    <xf numFmtId="0" fontId="24" fillId="0" borderId="0" xfId="0" applyFont="1" applyAlignment="1">
      <alignment vertical="top" wrapText="1"/>
    </xf>
    <xf numFmtId="0" fontId="8" fillId="0" borderId="0" xfId="154" applyFont="1" applyAlignment="1">
      <alignment horizontal="center" vertical="center"/>
    </xf>
    <xf numFmtId="164" fontId="47" fillId="0" borderId="0" xfId="154" applyNumberFormat="1"/>
    <xf numFmtId="0" fontId="47" fillId="0" borderId="0" xfId="154" applyAlignment="1">
      <alignment horizontal="center" vertical="center"/>
    </xf>
    <xf numFmtId="3" fontId="25" fillId="2" borderId="0" xfId="0" applyNumberFormat="1" applyFont="1" applyFill="1"/>
    <xf numFmtId="0" fontId="53" fillId="0" borderId="0" xfId="0" applyFont="1" applyFill="1" applyAlignment="1">
      <alignment horizontal="left"/>
    </xf>
    <xf numFmtId="0" fontId="51" fillId="6" borderId="0" xfId="0" applyFont="1" applyFill="1"/>
    <xf numFmtId="0" fontId="51" fillId="6" borderId="0" xfId="0" applyFont="1" applyFill="1" applyAlignment="1"/>
    <xf numFmtId="0" fontId="7" fillId="6" borderId="0" xfId="0" applyNumberFormat="1" applyFont="1" applyFill="1" applyAlignment="1">
      <alignment horizontal="left"/>
    </xf>
    <xf numFmtId="0" fontId="7" fillId="6" borderId="0" xfId="0" applyNumberFormat="1" applyFont="1" applyFill="1" applyAlignment="1">
      <alignment horizontal="center"/>
    </xf>
    <xf numFmtId="10" fontId="25" fillId="0" borderId="0" xfId="0" applyNumberFormat="1" applyFont="1" applyFill="1"/>
    <xf numFmtId="173" fontId="25" fillId="0" borderId="12" xfId="0" applyNumberFormat="1" applyFont="1" applyFill="1" applyBorder="1"/>
    <xf numFmtId="3" fontId="36" fillId="0" borderId="19" xfId="0" applyNumberFormat="1" applyFont="1" applyBorder="1" applyAlignment="1">
      <alignment horizontal="right"/>
    </xf>
    <xf numFmtId="3" fontId="7" fillId="0" borderId="19" xfId="0" applyNumberFormat="1" applyFont="1" applyBorder="1" applyAlignment="1">
      <alignment horizontal="right"/>
    </xf>
    <xf numFmtId="3" fontId="25" fillId="0" borderId="0" xfId="0" applyNumberFormat="1" applyFont="1" applyBorder="1" applyAlignment="1">
      <alignment horizontal="right"/>
    </xf>
    <xf numFmtId="0" fontId="90" fillId="0" borderId="0" xfId="0" applyFont="1" applyFill="1" applyBorder="1"/>
    <xf numFmtId="3" fontId="25" fillId="0" borderId="12" xfId="0" applyNumberFormat="1" applyFont="1" applyFill="1" applyBorder="1" applyAlignment="1">
      <alignment horizontal="right"/>
    </xf>
    <xf numFmtId="37" fontId="25" fillId="0" borderId="0" xfId="0" applyNumberFormat="1" applyFont="1" applyBorder="1" applyAlignment="1">
      <alignment horizontal="right"/>
    </xf>
    <xf numFmtId="164" fontId="25" fillId="10" borderId="0" xfId="50" quotePrefix="1" applyNumberFormat="1" applyFont="1" applyFill="1" applyAlignment="1">
      <alignment horizontal="right"/>
    </xf>
    <xf numFmtId="164" fontId="25" fillId="10" borderId="12" xfId="50" quotePrefix="1" applyNumberFormat="1" applyFont="1" applyFill="1" applyBorder="1" applyAlignment="1">
      <alignment horizontal="right"/>
    </xf>
    <xf numFmtId="164" fontId="25" fillId="2" borderId="0" xfId="50" applyNumberFormat="1" applyFont="1" applyFill="1" applyBorder="1" applyAlignment="1">
      <alignment horizontal="right"/>
    </xf>
    <xf numFmtId="164" fontId="25" fillId="0" borderId="0" xfId="50" applyNumberFormat="1" applyFont="1" applyFill="1" applyBorder="1" applyAlignment="1">
      <alignment horizontal="right"/>
    </xf>
    <xf numFmtId="164" fontId="25" fillId="2" borderId="0" xfId="50" applyNumberFormat="1" applyFont="1" applyFill="1" applyAlignment="1"/>
    <xf numFmtId="164" fontId="25" fillId="2" borderId="12" xfId="50" applyNumberFormat="1" applyFont="1" applyFill="1" applyBorder="1" applyAlignment="1"/>
    <xf numFmtId="164" fontId="25" fillId="0" borderId="19" xfId="50" applyNumberFormat="1" applyFont="1" applyFill="1" applyBorder="1" applyAlignment="1">
      <alignment horizontal="right"/>
    </xf>
    <xf numFmtId="164" fontId="25" fillId="0" borderId="20" xfId="50" applyNumberFormat="1" applyFont="1" applyFill="1" applyBorder="1" applyAlignment="1">
      <alignment horizontal="right"/>
    </xf>
    <xf numFmtId="0" fontId="47" fillId="0" borderId="0" xfId="0" applyFont="1" applyAlignment="1">
      <alignment horizontal="left" vertical="top" wrapText="1"/>
    </xf>
    <xf numFmtId="0" fontId="66" fillId="0" borderId="30" xfId="0" applyFont="1" applyBorder="1" applyAlignment="1">
      <alignment horizontal="center" vertical="center"/>
    </xf>
    <xf numFmtId="0" fontId="66" fillId="0" borderId="22" xfId="0" applyFont="1" applyBorder="1" applyAlignment="1">
      <alignment horizontal="center" vertical="center"/>
    </xf>
    <xf numFmtId="0" fontId="66" fillId="0" borderId="21" xfId="0" applyFont="1" applyBorder="1" applyAlignment="1">
      <alignment horizontal="center" vertical="center"/>
    </xf>
    <xf numFmtId="0" fontId="66" fillId="0" borderId="24" xfId="0" applyFont="1" applyBorder="1" applyAlignment="1">
      <alignment horizontal="center" vertical="center"/>
    </xf>
    <xf numFmtId="0" fontId="89" fillId="0" borderId="0" xfId="0" applyFont="1" applyAlignment="1">
      <alignment horizontal="center"/>
    </xf>
    <xf numFmtId="0" fontId="66" fillId="0" borderId="0" xfId="0" applyFont="1" applyAlignment="1">
      <alignment horizontal="left" vertical="center" indent="1"/>
    </xf>
    <xf numFmtId="0" fontId="8" fillId="0" borderId="0" xfId="0" applyFont="1" applyAlignment="1">
      <alignment horizontal="left" vertical="top" wrapText="1"/>
    </xf>
    <xf numFmtId="0" fontId="47" fillId="0" borderId="0" xfId="0" applyFont="1" applyAlignment="1">
      <alignment horizontal="center" vertical="center" wrapText="1"/>
    </xf>
    <xf numFmtId="0" fontId="47" fillId="0" borderId="12" xfId="0" applyFont="1" applyBorder="1" applyAlignment="1">
      <alignment horizontal="center" wrapText="1"/>
    </xf>
    <xf numFmtId="0" fontId="8" fillId="10" borderId="23" xfId="156" applyFill="1" applyBorder="1" applyAlignment="1">
      <alignment vertical="top" wrapText="1"/>
    </xf>
    <xf numFmtId="0" fontId="8" fillId="10" borderId="23" xfId="0" applyFont="1" applyFill="1" applyBorder="1" applyAlignment="1">
      <alignment horizontal="left" vertical="top" wrapText="1"/>
    </xf>
    <xf numFmtId="0" fontId="45" fillId="0" borderId="0" xfId="19" applyFont="1" applyAlignment="1">
      <alignment horizontal="center"/>
    </xf>
    <xf numFmtId="0" fontId="45" fillId="0" borderId="0" xfId="19" applyFont="1"/>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41" fontId="8" fillId="0" borderId="0" xfId="19" applyNumberFormat="1" applyFont="1"/>
    <xf numFmtId="0" fontId="9" fillId="0" borderId="0" xfId="16" applyFont="1"/>
    <xf numFmtId="37" fontId="8" fillId="0" borderId="0" xfId="19" applyNumberFormat="1" applyFont="1"/>
    <xf numFmtId="0" fontId="9" fillId="0" borderId="12" xfId="16" applyFont="1" applyBorder="1"/>
    <xf numFmtId="0" fontId="8" fillId="0" borderId="0" xfId="19" applyFont="1" applyAlignment="1">
      <alignment horizontal="left" indent="1"/>
    </xf>
    <xf numFmtId="43" fontId="8" fillId="0" borderId="0" xfId="19" applyNumberFormat="1" applyFont="1"/>
    <xf numFmtId="0" fontId="8" fillId="0" borderId="0" xfId="16" applyAlignment="1">
      <alignment vertical="top" wrapText="1"/>
    </xf>
    <xf numFmtId="0" fontId="45" fillId="0" borderId="0" xfId="16" applyFont="1"/>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0" borderId="26" xfId="16" applyBorder="1"/>
    <xf numFmtId="0" fontId="8" fillId="0" borderId="24" xfId="16" applyBorder="1"/>
    <xf numFmtId="0" fontId="8" fillId="0" borderId="23" xfId="16" applyBorder="1" applyAlignment="1">
      <alignment wrapText="1"/>
    </xf>
    <xf numFmtId="0" fontId="8" fillId="10" borderId="24" xfId="16" applyFill="1" applyBorder="1"/>
    <xf numFmtId="0" fontId="8" fillId="0" borderId="23" xfId="16" applyBorder="1" applyAlignment="1">
      <alignment horizontal="left" indent="1"/>
    </xf>
    <xf numFmtId="0" fontId="45" fillId="0" borderId="23" xfId="16" applyFont="1" applyBorder="1"/>
    <xf numFmtId="41" fontId="8" fillId="0" borderId="23" xfId="19" applyNumberFormat="1" applyFont="1" applyBorder="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8" fillId="10" borderId="26" xfId="16" applyFill="1" applyBorder="1"/>
    <xf numFmtId="0" fontId="8" fillId="10" borderId="23" xfId="16" applyFill="1" applyBorder="1"/>
    <xf numFmtId="0" fontId="8" fillId="0" borderId="30" xfId="16" applyBorder="1"/>
    <xf numFmtId="0" fontId="2" fillId="0" borderId="22" xfId="19" applyFont="1" applyBorder="1"/>
    <xf numFmtId="0" fontId="8" fillId="0" borderId="25" xfId="16" applyBorder="1" applyAlignment="1">
      <alignment horizontal="left" indent="1"/>
    </xf>
    <xf numFmtId="0" fontId="45" fillId="0" borderId="25" xfId="16" applyFont="1" applyBorder="1"/>
    <xf numFmtId="0" fontId="8" fillId="0" borderId="0" xfId="16" applyAlignment="1">
      <alignment horizontal="left"/>
    </xf>
    <xf numFmtId="0" fontId="66"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6" fillId="0" borderId="0" xfId="16" applyFont="1" applyAlignment="1">
      <alignment horizontal="left"/>
    </xf>
    <xf numFmtId="0" fontId="113"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164" fontId="8" fillId="0" borderId="0" xfId="50" applyNumberFormat="1" applyFont="1" applyBorder="1"/>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0" fontId="47" fillId="10" borderId="25" xfId="16" applyFont="1" applyFill="1" applyBorder="1"/>
    <xf numFmtId="0" fontId="8" fillId="2" borderId="22" xfId="16" applyFill="1" applyBorder="1"/>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37" fontId="8" fillId="2" borderId="23" xfId="16" applyNumberFormat="1" applyFill="1" applyBorder="1" applyAlignment="1">
      <alignment vertical="top"/>
    </xf>
    <xf numFmtId="164" fontId="8" fillId="0" borderId="0" xfId="50" applyNumberFormat="1" applyFont="1"/>
    <xf numFmtId="0" fontId="8" fillId="2" borderId="23" xfId="16" applyFill="1" applyBorder="1"/>
    <xf numFmtId="0" fontId="2" fillId="0" borderId="23" xfId="19" applyFont="1" applyBorder="1"/>
    <xf numFmtId="0" fontId="8" fillId="0" borderId="23" xfId="16" applyBorder="1"/>
    <xf numFmtId="37" fontId="8" fillId="2" borderId="23" xfId="0" applyNumberFormat="1" applyFont="1" applyFill="1" applyBorder="1" applyAlignment="1">
      <alignment vertical="top"/>
    </xf>
    <xf numFmtId="41" fontId="8" fillId="10" borderId="23" xfId="0" applyNumberFormat="1" applyFont="1" applyFill="1" applyBorder="1" applyAlignment="1">
      <alignment vertical="top"/>
    </xf>
    <xf numFmtId="0" fontId="8" fillId="0" borderId="23" xfId="0" applyFont="1" applyBorder="1" applyAlignment="1">
      <alignment vertical="top"/>
    </xf>
    <xf numFmtId="0" fontId="8" fillId="2" borderId="23" xfId="16" applyFill="1" applyBorder="1" applyAlignment="1">
      <alignment vertical="top" wrapText="1"/>
    </xf>
    <xf numFmtId="37" fontId="8" fillId="0" borderId="23" xfId="0" applyNumberFormat="1" applyFont="1" applyBorder="1" applyAlignment="1">
      <alignment vertical="top"/>
    </xf>
    <xf numFmtId="0" fontId="25" fillId="0" borderId="0" xfId="0" applyFont="1" applyAlignment="1">
      <alignment horizontal="center"/>
    </xf>
    <xf numFmtId="3" fontId="69" fillId="0" borderId="0" xfId="29" applyNumberFormat="1" applyFont="1"/>
    <xf numFmtId="43" fontId="77" fillId="0" borderId="0" xfId="8" applyFont="1" applyFill="1" applyBorder="1" applyAlignment="1"/>
    <xf numFmtId="10" fontId="69" fillId="0" borderId="0" xfId="29" applyNumberFormat="1" applyFont="1"/>
    <xf numFmtId="3" fontId="70" fillId="0" borderId="0" xfId="29" applyNumberFormat="1" applyFont="1"/>
    <xf numFmtId="43" fontId="70" fillId="0" borderId="0" xfId="8" applyFont="1" applyFill="1" applyBorder="1" applyAlignment="1"/>
    <xf numFmtId="168" fontId="69" fillId="0" borderId="0" xfId="52" applyFont="1"/>
    <xf numFmtId="168" fontId="69" fillId="10" borderId="0" xfId="52" applyFont="1" applyFill="1"/>
    <xf numFmtId="0" fontId="16" fillId="0" borderId="0" xfId="0" applyFont="1" applyAlignment="1">
      <alignment horizontal="center"/>
    </xf>
    <xf numFmtId="37" fontId="25" fillId="0" borderId="0" xfId="0" applyNumberFormat="1" applyFont="1" applyAlignment="1">
      <alignment horizontal="left"/>
    </xf>
    <xf numFmtId="0" fontId="25" fillId="0" borderId="0" xfId="0" applyFont="1" applyAlignment="1">
      <alignment horizontal="center" vertical="top"/>
    </xf>
    <xf numFmtId="168" fontId="25" fillId="0" borderId="0" xfId="21" applyFont="1" applyProtection="1">
      <protection locked="0"/>
    </xf>
    <xf numFmtId="0" fontId="54" fillId="0" borderId="0" xfId="0" applyFont="1" applyAlignment="1">
      <alignment horizontal="center"/>
    </xf>
    <xf numFmtId="0" fontId="7" fillId="0" borderId="0" xfId="0" applyFont="1" applyAlignment="1">
      <alignment horizontal="left"/>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190" fontId="8" fillId="0" borderId="0" xfId="14"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164" fontId="12" fillId="0" borderId="1" xfId="50" applyNumberFormat="1" applyFont="1" applyFill="1" applyBorder="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81" fontId="121" fillId="0" borderId="0" xfId="8" applyNumberFormat="1" applyFont="1" applyAlignment="1">
      <alignment horizontal="center"/>
    </xf>
    <xf numFmtId="181" fontId="122" fillId="0" borderId="0" xfId="10" applyNumberFormat="1" applyFont="1"/>
    <xf numFmtId="181" fontId="122" fillId="0" borderId="0" xfId="8" applyNumberFormat="1" applyFont="1"/>
    <xf numFmtId="43" fontId="123" fillId="0" borderId="0" xfId="50" applyFont="1"/>
    <xf numFmtId="181" fontId="122" fillId="0" borderId="12" xfId="10" applyNumberFormat="1" applyFont="1" applyBorder="1"/>
    <xf numFmtId="181" fontId="122" fillId="0" borderId="12" xfId="8" applyNumberFormat="1" applyFont="1" applyBorder="1"/>
    <xf numFmtId="164" fontId="25" fillId="10" borderId="0" xfId="8" applyNumberFormat="1" applyFont="1" applyFill="1"/>
    <xf numFmtId="0" fontId="20" fillId="3" borderId="4" xfId="0" applyFont="1" applyFill="1" applyBorder="1" applyAlignment="1">
      <alignment horizontal="center" wrapText="1"/>
    </xf>
    <xf numFmtId="0" fontId="69" fillId="10" borderId="0" xfId="8" applyNumberFormat="1" applyFont="1" applyFill="1" applyBorder="1" applyAlignment="1">
      <alignment horizontal="left"/>
    </xf>
    <xf numFmtId="168" fontId="69" fillId="0" borderId="33" xfId="37" applyFont="1" applyFill="1" applyBorder="1"/>
    <xf numFmtId="164" fontId="69" fillId="10" borderId="27" xfId="8" applyNumberFormat="1" applyFont="1" applyFill="1" applyBorder="1"/>
    <xf numFmtId="168" fontId="69" fillId="0" borderId="0" xfId="37" applyFont="1" applyFill="1" applyBorder="1"/>
    <xf numFmtId="168" fontId="69" fillId="10" borderId="27" xfId="52" applyFont="1" applyFill="1" applyBorder="1" applyAlignment="1"/>
    <xf numFmtId="0" fontId="8" fillId="10" borderId="23" xfId="0" applyFont="1" applyFill="1" applyBorder="1" applyAlignment="1">
      <alignment vertical="top" wrapText="1"/>
    </xf>
    <xf numFmtId="0" fontId="8" fillId="10" borderId="23" xfId="16" applyFill="1" applyBorder="1" applyAlignment="1">
      <alignment vertical="top" wrapText="1"/>
    </xf>
    <xf numFmtId="168" fontId="25" fillId="0" borderId="0" xfId="21" applyFont="1" applyAlignment="1" applyProtection="1">
      <alignment horizontal="left" wrapText="1"/>
      <protection locked="0"/>
    </xf>
    <xf numFmtId="168" fontId="25" fillId="0" borderId="0" xfId="21" applyFont="1" applyAlignment="1" applyProtection="1">
      <alignment horizontal="left" vertical="top" wrapText="1"/>
      <protection locked="0"/>
    </xf>
    <xf numFmtId="0" fontId="25" fillId="0" borderId="0" xfId="0" applyFont="1" applyAlignment="1">
      <alignment horizontal="left" vertical="top" wrapText="1"/>
    </xf>
    <xf numFmtId="0" fontId="25" fillId="0" borderId="0" xfId="0" applyFont="1" applyAlignment="1">
      <alignment vertical="top" wrapText="1"/>
    </xf>
    <xf numFmtId="0" fontId="65" fillId="0" borderId="0" xfId="0" applyFont="1" applyAlignment="1">
      <alignment vertical="top" wrapText="1"/>
    </xf>
    <xf numFmtId="0" fontId="47" fillId="0" borderId="0" xfId="0" applyFont="1" applyAlignment="1">
      <alignment horizontal="left" vertical="top" wrapText="1"/>
    </xf>
    <xf numFmtId="0" fontId="47" fillId="10" borderId="0" xfId="0" applyFont="1" applyFill="1" applyAlignment="1">
      <alignment horizontal="left" vertical="top" wrapText="1"/>
    </xf>
    <xf numFmtId="0" fontId="66" fillId="0" borderId="12" xfId="0" applyFont="1" applyBorder="1" applyAlignment="1">
      <alignment horizontal="center" vertical="center"/>
    </xf>
    <xf numFmtId="0" fontId="66" fillId="0" borderId="29" xfId="0" applyFont="1" applyBorder="1" applyAlignment="1">
      <alignment horizontal="center" vertical="center"/>
    </xf>
    <xf numFmtId="0" fontId="66" fillId="0" borderId="19" xfId="0" applyFont="1" applyBorder="1" applyAlignment="1">
      <alignment horizontal="center" vertical="center"/>
    </xf>
    <xf numFmtId="0" fontId="66" fillId="0" borderId="30" xfId="0" applyFont="1" applyBorder="1" applyAlignment="1">
      <alignment horizontal="center" vertical="center"/>
    </xf>
    <xf numFmtId="0" fontId="66" fillId="0" borderId="22" xfId="0" applyFont="1" applyBorder="1" applyAlignment="1">
      <alignment horizontal="center" vertical="center"/>
    </xf>
    <xf numFmtId="0" fontId="66" fillId="0" borderId="21" xfId="0" applyFont="1" applyBorder="1" applyAlignment="1">
      <alignment horizontal="center" vertical="center"/>
    </xf>
    <xf numFmtId="0" fontId="66" fillId="0" borderId="24" xfId="0" applyFont="1" applyBorder="1" applyAlignment="1">
      <alignment horizontal="center" vertical="center"/>
    </xf>
    <xf numFmtId="0" fontId="47" fillId="0" borderId="0" xfId="0" applyFont="1" applyAlignment="1">
      <alignment horizontal="left" vertical="top"/>
    </xf>
    <xf numFmtId="0" fontId="89" fillId="0" borderId="0" xfId="0" applyFont="1" applyAlignment="1">
      <alignment horizontal="center"/>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6" fillId="0" borderId="0" xfId="16" applyFont="1" applyAlignment="1">
      <alignment horizontal="left" vertical="top" wrapText="1"/>
    </xf>
    <xf numFmtId="0" fontId="66" fillId="0" borderId="0" xfId="0" applyFont="1" applyAlignment="1">
      <alignment horizontal="left" vertical="center" indent="1"/>
    </xf>
    <xf numFmtId="0" fontId="66" fillId="0" borderId="12" xfId="0" applyFont="1" applyBorder="1" applyAlignment="1">
      <alignment horizontal="left" vertical="center" indent="1"/>
    </xf>
    <xf numFmtId="0" fontId="112" fillId="13" borderId="12" xfId="0" applyFont="1" applyFill="1" applyBorder="1" applyAlignment="1">
      <alignment horizontal="left"/>
    </xf>
    <xf numFmtId="0" fontId="114" fillId="13" borderId="0" xfId="0" applyFont="1" applyFill="1" applyAlignment="1">
      <alignment horizontal="center"/>
    </xf>
    <xf numFmtId="0" fontId="112" fillId="13" borderId="0" xfId="0" applyFont="1" applyFill="1" applyAlignment="1">
      <alignment horizontal="left"/>
    </xf>
    <xf numFmtId="0" fontId="8" fillId="0" borderId="0" xfId="0" applyFont="1" applyAlignment="1">
      <alignment horizontal="left" vertical="top" wrapText="1"/>
    </xf>
    <xf numFmtId="0" fontId="66" fillId="0" borderId="0" xfId="0" applyFont="1" applyAlignment="1">
      <alignment horizontal="center" vertical="center"/>
    </xf>
    <xf numFmtId="0" fontId="66" fillId="0" borderId="0" xfId="0" applyFont="1" applyAlignment="1">
      <alignment horizontal="left" vertical="center"/>
    </xf>
    <xf numFmtId="0" fontId="66" fillId="0" borderId="12" xfId="0" applyFont="1" applyBorder="1" applyAlignment="1">
      <alignment horizontal="left" vertical="center"/>
    </xf>
    <xf numFmtId="0" fontId="47" fillId="0" borderId="0" xfId="0" applyFont="1" applyAlignment="1">
      <alignment horizontal="left" vertical="center" wrapText="1" indent="1"/>
    </xf>
    <xf numFmtId="0" fontId="47" fillId="0" borderId="12" xfId="0" applyFont="1" applyBorder="1" applyAlignment="1">
      <alignment horizontal="left" vertical="center" wrapText="1" indent="1"/>
    </xf>
    <xf numFmtId="0" fontId="90" fillId="0" borderId="22" xfId="0" applyFont="1" applyBorder="1" applyAlignment="1">
      <alignment horizontal="center"/>
    </xf>
    <xf numFmtId="0" fontId="90" fillId="0" borderId="21" xfId="0" applyFont="1" applyBorder="1" applyAlignment="1">
      <alignment horizontal="center"/>
    </xf>
    <xf numFmtId="0" fontId="90" fillId="0" borderId="24" xfId="0" applyFont="1" applyBorder="1" applyAlignment="1">
      <alignment horizontal="center"/>
    </xf>
    <xf numFmtId="0" fontId="66" fillId="0" borderId="0" xfId="0" applyFont="1" applyAlignment="1">
      <alignment horizontal="left" vertical="center" wrapText="1"/>
    </xf>
    <xf numFmtId="0" fontId="66" fillId="0" borderId="12" xfId="0" applyFont="1" applyBorder="1" applyAlignment="1">
      <alignment horizontal="left" vertical="center" wrapText="1"/>
    </xf>
    <xf numFmtId="0" fontId="47" fillId="0" borderId="0" xfId="0" applyFont="1" applyAlignment="1">
      <alignment horizontal="center" vertical="center" wrapText="1"/>
    </xf>
    <xf numFmtId="0" fontId="47" fillId="0" borderId="12" xfId="0" applyFont="1" applyBorder="1" applyAlignment="1">
      <alignment horizontal="center" vertical="center" wrapText="1"/>
    </xf>
    <xf numFmtId="0" fontId="47" fillId="0" borderId="0" xfId="0" applyFont="1" applyAlignment="1">
      <alignment horizontal="center" wrapText="1"/>
    </xf>
    <xf numFmtId="0" fontId="47" fillId="0" borderId="12" xfId="0" applyFont="1" applyBorder="1" applyAlignment="1">
      <alignment horizontal="center" wrapText="1"/>
    </xf>
    <xf numFmtId="0" fontId="8" fillId="0" borderId="0" xfId="154" applyFont="1" applyAlignment="1">
      <alignment horizontal="left" vertical="top" wrapText="1"/>
    </xf>
    <xf numFmtId="0" fontId="47" fillId="0" borderId="0" xfId="154" applyAlignment="1">
      <alignment horizontal="left" vertical="top" wrapText="1"/>
    </xf>
    <xf numFmtId="0" fontId="115" fillId="13" borderId="22" xfId="0" applyFont="1" applyFill="1" applyBorder="1" applyAlignment="1">
      <alignment horizontal="center"/>
    </xf>
    <xf numFmtId="0" fontId="115" fillId="13" borderId="21" xfId="0" applyFont="1" applyFill="1" applyBorder="1" applyAlignment="1">
      <alignment horizontal="center"/>
    </xf>
    <xf numFmtId="0" fontId="115" fillId="13" borderId="24" xfId="0" applyFont="1" applyFill="1" applyBorder="1" applyAlignment="1">
      <alignment horizontal="center"/>
    </xf>
    <xf numFmtId="0" fontId="89" fillId="0" borderId="22" xfId="0" applyFont="1" applyBorder="1" applyAlignment="1">
      <alignment horizontal="center"/>
    </xf>
    <xf numFmtId="0" fontId="89" fillId="0" borderId="21" xfId="0" applyFont="1" applyBorder="1" applyAlignment="1">
      <alignment horizontal="center"/>
    </xf>
    <xf numFmtId="0" fontId="89"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7" fillId="0" borderId="0" xfId="0" applyFont="1" applyAlignment="1">
      <alignment horizontal="center"/>
    </xf>
    <xf numFmtId="0" fontId="90" fillId="0" borderId="0" xfId="0" applyFont="1" applyAlignment="1"/>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9" fontId="12" fillId="0" borderId="5" xfId="2" applyFont="1" applyFill="1" applyBorder="1" applyAlignment="1">
      <alignment horizontal="left" wrapText="1" indent="1"/>
    </xf>
    <xf numFmtId="9" fontId="12" fillId="0" borderId="0" xfId="2" applyFont="1" applyFill="1" applyAlignment="1">
      <alignment horizontal="left" wrapText="1" indent="1"/>
    </xf>
    <xf numFmtId="9" fontId="12" fillId="0" borderId="6" xfId="2" applyFont="1" applyFill="1" applyBorder="1" applyAlignment="1">
      <alignment horizontal="left" wrapText="1" indent="1"/>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0" fontId="20"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0" fillId="0" borderId="6"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3" fillId="0" borderId="0" xfId="0" applyFont="1" applyFill="1" applyBorder="1" applyAlignment="1">
      <alignment horizontal="center" wrapText="1"/>
    </xf>
    <xf numFmtId="164" fontId="12" fillId="0" borderId="1" xfId="0" applyNumberFormat="1"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lignment horizontal="center" wrapText="1"/>
    </xf>
    <xf numFmtId="0" fontId="12" fillId="0" borderId="8" xfId="0" applyFont="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9" fillId="0" borderId="0" xfId="33"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3" fillId="0" borderId="1" xfId="0" applyFont="1" applyFill="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20" fillId="3" borderId="4" xfId="0" applyFont="1" applyFill="1" applyBorder="1" applyAlignment="1">
      <alignment horizontal="left" wrapText="1"/>
    </xf>
    <xf numFmtId="0" fontId="20" fillId="3" borderId="3" xfId="0" applyFont="1" applyFill="1" applyBorder="1" applyAlignment="1">
      <alignment horizontal="left" wrapText="1"/>
    </xf>
    <xf numFmtId="0" fontId="12" fillId="0" borderId="0" xfId="0" applyFont="1" applyAlignment="1">
      <alignment horizontal="left" wrapText="1"/>
    </xf>
    <xf numFmtId="0" fontId="12" fillId="0" borderId="6" xfId="0" applyFont="1" applyBorder="1" applyAlignment="1">
      <alignment horizontal="left" wrapText="1"/>
    </xf>
    <xf numFmtId="0" fontId="12" fillId="0" borderId="1" xfId="0" applyFont="1" applyBorder="1" applyAlignment="1">
      <alignment horizontal="left"/>
    </xf>
    <xf numFmtId="0" fontId="12" fillId="0" borderId="8" xfId="0" applyFont="1" applyBorder="1" applyAlignment="1">
      <alignment horizontal="left"/>
    </xf>
    <xf numFmtId="0" fontId="24" fillId="0" borderId="0" xfId="0" applyFont="1" applyFill="1" applyBorder="1" applyAlignment="1">
      <alignment wrapText="1"/>
    </xf>
    <xf numFmtId="0" fontId="0" fillId="0" borderId="0" xfId="0" applyFill="1" applyBorder="1" applyAlignment="1">
      <alignment wrapText="1"/>
    </xf>
    <xf numFmtId="0" fontId="0" fillId="0" borderId="6" xfId="0" applyFill="1" applyBorder="1" applyAlignment="1">
      <alignment wrapText="1"/>
    </xf>
    <xf numFmtId="0" fontId="0" fillId="0" borderId="1" xfId="0" applyFill="1" applyBorder="1" applyAlignment="1">
      <alignment wrapText="1"/>
    </xf>
    <xf numFmtId="0" fontId="0" fillId="0" borderId="8" xfId="0" applyFill="1" applyBorder="1" applyAlignment="1">
      <alignment wrapText="1"/>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65" fillId="8" borderId="0" xfId="0" applyNumberFormat="1" applyFont="1" applyFill="1" applyBorder="1" applyAlignment="1">
      <alignment horizontal="left" vertical="top" wrapText="1"/>
    </xf>
    <xf numFmtId="0" fontId="65" fillId="8" borderId="0" xfId="0" applyFont="1" applyFill="1" applyAlignment="1">
      <alignment horizontal="left" vertical="top" wrapText="1"/>
    </xf>
    <xf numFmtId="0" fontId="65" fillId="8" borderId="0" xfId="0" applyFont="1" applyFill="1" applyAlignment="1">
      <alignment horizontal="left" vertical="center" wrapText="1"/>
    </xf>
    <xf numFmtId="0" fontId="32" fillId="8" borderId="0" xfId="0" applyNumberFormat="1" applyFont="1" applyFill="1" applyBorder="1" applyAlignment="1">
      <alignment horizontal="left" vertical="top" wrapText="1"/>
    </xf>
    <xf numFmtId="0" fontId="32" fillId="8" borderId="0" xfId="0" applyFont="1" applyFill="1" applyAlignment="1">
      <alignment horizontal="left" vertical="top" wrapText="1"/>
    </xf>
    <xf numFmtId="0" fontId="65"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2" fillId="0" borderId="0" xfId="0" applyFont="1" applyBorder="1" applyAlignment="1">
      <alignment horizontal="left" wrapText="1"/>
    </xf>
    <xf numFmtId="0" fontId="0" fillId="0" borderId="4" xfId="0" applyBorder="1" applyAlignment="1">
      <alignment wrapText="1"/>
    </xf>
    <xf numFmtId="0" fontId="0" fillId="0" borderId="3" xfId="0" applyBorder="1" applyAlignment="1">
      <alignment wrapText="1"/>
    </xf>
    <xf numFmtId="0" fontId="12" fillId="0" borderId="0" xfId="0" applyFont="1" applyBorder="1" applyAlignment="1">
      <alignment wrapText="1"/>
    </xf>
    <xf numFmtId="0" fontId="0" fillId="0" borderId="0" xfId="0" applyAlignment="1">
      <alignment wrapText="1"/>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 fillId="0" borderId="0" xfId="22" applyFont="1" applyAlignment="1">
      <alignment horizontal="center"/>
    </xf>
    <xf numFmtId="0" fontId="54" fillId="0" borderId="0" xfId="22" applyFont="1" applyAlignment="1"/>
    <xf numFmtId="168" fontId="69" fillId="0" borderId="0" xfId="29" applyFont="1" applyFill="1" applyBorder="1" applyAlignment="1">
      <alignment horizontal="left"/>
    </xf>
    <xf numFmtId="168" fontId="69" fillId="0" borderId="0" xfId="37" applyFont="1" applyAlignment="1">
      <alignment horizontal="left" vertical="center" wrapText="1"/>
    </xf>
    <xf numFmtId="168" fontId="69" fillId="0" borderId="0" xfId="29" applyFont="1" applyFill="1" applyBorder="1" applyAlignment="1">
      <alignment horizontal="left" vertical="top" wrapText="1"/>
    </xf>
    <xf numFmtId="168" fontId="69" fillId="0" borderId="0" xfId="29" applyFont="1" applyFill="1" applyBorder="1" applyAlignment="1">
      <alignment horizontal="left" wrapText="1"/>
    </xf>
    <xf numFmtId="168" fontId="69" fillId="0" borderId="0" xfId="29" applyFont="1" applyAlignment="1">
      <alignment horizontal="left" vertical="top" wrapText="1"/>
    </xf>
    <xf numFmtId="168" fontId="69" fillId="0" borderId="29" xfId="37" applyFont="1" applyFill="1" applyBorder="1" applyAlignment="1">
      <alignment horizontal="center"/>
    </xf>
    <xf numFmtId="168" fontId="69" fillId="0" borderId="30" xfId="37" applyFont="1" applyFill="1" applyBorder="1" applyAlignment="1">
      <alignment horizontal="center"/>
    </xf>
    <xf numFmtId="168" fontId="69" fillId="0" borderId="32" xfId="37" applyFont="1" applyFill="1" applyBorder="1" applyAlignment="1">
      <alignment horizontal="center"/>
    </xf>
    <xf numFmtId="168" fontId="69" fillId="0" borderId="26" xfId="37" applyFont="1" applyFill="1" applyBorder="1" applyAlignment="1">
      <alignment horizontal="center"/>
    </xf>
    <xf numFmtId="168" fontId="70" fillId="0" borderId="29" xfId="29" applyFont="1" applyBorder="1" applyAlignment="1">
      <alignment horizontal="center"/>
    </xf>
    <xf numFmtId="168" fontId="70" fillId="0" borderId="32" xfId="29" applyFont="1" applyBorder="1" applyAlignment="1">
      <alignment horizontal="center"/>
    </xf>
    <xf numFmtId="168" fontId="70" fillId="0" borderId="33" xfId="29" applyFont="1" applyBorder="1" applyAlignment="1">
      <alignment horizontal="center" wrapText="1"/>
    </xf>
    <xf numFmtId="168" fontId="70" fillId="0" borderId="25" xfId="29" applyFont="1" applyBorder="1" applyAlignment="1">
      <alignment horizontal="center" wrapText="1"/>
    </xf>
    <xf numFmtId="168" fontId="69" fillId="0" borderId="0" xfId="37" applyFont="1" applyAlignment="1">
      <alignment horizontal="left" vertical="top" wrapText="1"/>
    </xf>
    <xf numFmtId="0" fontId="69" fillId="0" borderId="0" xfId="0" applyFont="1" applyFill="1" applyBorder="1" applyAlignment="1">
      <alignment horizontal="center"/>
    </xf>
    <xf numFmtId="0" fontId="12" fillId="0" borderId="5" xfId="0" applyFont="1" applyBorder="1" applyAlignment="1">
      <alignment horizontal="center" wrapText="1"/>
    </xf>
    <xf numFmtId="0" fontId="13" fillId="0" borderId="2" xfId="0" applyFont="1" applyFill="1" applyBorder="1" applyAlignment="1">
      <alignment horizontal="center"/>
    </xf>
    <xf numFmtId="0" fontId="13" fillId="0" borderId="4" xfId="0" applyFont="1" applyFill="1" applyBorder="1" applyAlignment="1">
      <alignment horizontal="center"/>
    </xf>
    <xf numFmtId="0" fontId="13" fillId="0" borderId="3" xfId="0" applyFont="1" applyFill="1" applyBorder="1" applyAlignment="1">
      <alignment horizontal="center"/>
    </xf>
    <xf numFmtId="0" fontId="14" fillId="0" borderId="5" xfId="5" applyFont="1" applyBorder="1" applyAlignment="1">
      <alignment horizontal="left" wrapText="1"/>
    </xf>
    <xf numFmtId="0" fontId="14" fillId="0" borderId="6" xfId="5" applyFont="1" applyBorder="1" applyAlignment="1">
      <alignment horizontal="left" wrapText="1"/>
    </xf>
    <xf numFmtId="0" fontId="13" fillId="0" borderId="2" xfId="0" applyFont="1" applyFill="1" applyBorder="1" applyAlignment="1">
      <alignment horizontal="center" wrapText="1"/>
    </xf>
    <xf numFmtId="0" fontId="13" fillId="0" borderId="4" xfId="0" applyFont="1" applyFill="1" applyBorder="1" applyAlignment="1">
      <alignment horizontal="center" wrapText="1"/>
    </xf>
    <xf numFmtId="0" fontId="13" fillId="0" borderId="3" xfId="0" applyFont="1" applyFill="1" applyBorder="1" applyAlignment="1">
      <alignment horizontal="center" wrapText="1"/>
    </xf>
    <xf numFmtId="0" fontId="0" fillId="0" borderId="0" xfId="0" applyAlignment="1">
      <alignment horizontal="center"/>
    </xf>
    <xf numFmtId="0" fontId="69" fillId="0" borderId="0" xfId="33" applyNumberFormat="1" applyFont="1" applyFill="1" applyAlignment="1">
      <alignment horizontal="left" vertical="top" wrapText="1"/>
    </xf>
    <xf numFmtId="0" fontId="72" fillId="0" borderId="0" xfId="33" applyNumberFormat="1" applyFont="1" applyFill="1" applyAlignment="1">
      <alignment horizontal="left" vertical="top" wrapText="1"/>
    </xf>
    <xf numFmtId="0" fontId="70" fillId="9" borderId="22" xfId="28" applyFont="1" applyFill="1" applyBorder="1" applyAlignment="1">
      <alignment horizontal="center"/>
    </xf>
    <xf numFmtId="0" fontId="70" fillId="9" borderId="21" xfId="28" applyFont="1" applyFill="1" applyBorder="1" applyAlignment="1">
      <alignment horizontal="center"/>
    </xf>
    <xf numFmtId="0" fontId="70" fillId="9" borderId="24" xfId="28" applyFont="1" applyFill="1" applyBorder="1" applyAlignment="1">
      <alignment horizontal="center"/>
    </xf>
    <xf numFmtId="168" fontId="70" fillId="9" borderId="22" xfId="58" applyFont="1" applyFill="1" applyBorder="1" applyAlignment="1">
      <alignment horizontal="center"/>
    </xf>
    <xf numFmtId="0" fontId="0" fillId="0" borderId="21" xfId="0" applyBorder="1" applyAlignment="1">
      <alignment horizontal="center"/>
    </xf>
    <xf numFmtId="168" fontId="70" fillId="0" borderId="0" xfId="27" applyFont="1" applyFill="1" applyAlignment="1">
      <alignment horizontal="center"/>
    </xf>
    <xf numFmtId="168" fontId="69" fillId="0" borderId="0" xfId="27" applyFont="1" applyAlignment="1">
      <alignment horizontal="left" vertical="center" wrapText="1"/>
    </xf>
    <xf numFmtId="168" fontId="69"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70"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70" fillId="9" borderId="15" xfId="28" applyFont="1" applyFill="1" applyBorder="1" applyAlignment="1">
      <alignment horizontal="center"/>
    </xf>
    <xf numFmtId="0" fontId="70"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105" fillId="0" borderId="0" xfId="5" applyFont="1" applyAlignment="1">
      <alignment horizontal="center"/>
    </xf>
    <xf numFmtId="0" fontId="106" fillId="0" borderId="0" xfId="0" applyFont="1" applyAlignment="1">
      <alignment horizontal="center"/>
    </xf>
    <xf numFmtId="0" fontId="97" fillId="0" borderId="0" xfId="5" applyFont="1" applyAlignment="1">
      <alignment horizontal="center"/>
    </xf>
    <xf numFmtId="0" fontId="104" fillId="0" borderId="0" xfId="0" applyFont="1" applyAlignment="1">
      <alignment horizontal="center"/>
    </xf>
  </cellXfs>
  <cellStyles count="159">
    <cellStyle name="Comma" xfId="50" builtinId="3"/>
    <cellStyle name="Comma [0] 3 2" xfId="42" xr:uid="{EC5EA9AE-B745-47C8-AFE6-56FBEE149A5C}"/>
    <cellStyle name="Comma [0] 3 2 2" xfId="45" xr:uid="{36FED332-A54D-4C01-AB73-D6D936DA350F}"/>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4" xfId="1" xr:uid="{00000000-0005-0000-0000-000006000000}"/>
    <cellStyle name="Comma 4 2 2" xfId="4" xr:uid="{00000000-0005-0000-0000-000007000000}"/>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Normal" xfId="0" builtinId="0"/>
    <cellStyle name="Normal - Style1 5" xfId="64" xr:uid="{B4A35AC0-40A5-4B53-92FB-8EF9644159A7}"/>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CDE649A8-D444-4D34-812B-180FA15166C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7" xfId="29" xr:uid="{D5B5E0E3-DC2B-44D9-8A11-A6C8C1AD539A}"/>
    <cellStyle name="Normal 8" xfId="149" xr:uid="{56776621-D035-4D92-8F56-61856F74D484}"/>
    <cellStyle name="Normal 8 2" xfId="158" xr:uid="{007E6317-76D0-4A96-8AFA-6387007C70F0}"/>
    <cellStyle name="Normal 8 3" xfId="157" xr:uid="{AFAFD40B-33D6-4E38-B989-6186C614A47A}"/>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externalLink" Target="externalLinks/externalLink91.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127</xdr:row>
      <xdr:rowOff>76200</xdr:rowOff>
    </xdr:from>
    <xdr:to>
      <xdr:col>13</xdr:col>
      <xdr:colOff>760744</xdr:colOff>
      <xdr:row>155</xdr:row>
      <xdr:rowOff>142300</xdr:rowOff>
    </xdr:to>
    <xdr:pic>
      <xdr:nvPicPr>
        <xdr:cNvPr id="3" name="Picture 2">
          <a:extLst>
            <a:ext uri="{FF2B5EF4-FFF2-40B4-BE49-F238E27FC236}">
              <a16:creationId xmlns:a16="http://schemas.microsoft.com/office/drawing/2014/main" id="{EAD93CDE-26BF-4A37-BB0D-97B13439C418}"/>
            </a:ext>
          </a:extLst>
        </xdr:cNvPr>
        <xdr:cNvPicPr>
          <a:picLocks noChangeAspect="1"/>
        </xdr:cNvPicPr>
      </xdr:nvPicPr>
      <xdr:blipFill>
        <a:blip xmlns:r="http://schemas.openxmlformats.org/officeDocument/2006/relationships" r:embed="rId1"/>
        <a:stretch>
          <a:fillRect/>
        </a:stretch>
      </xdr:blipFill>
      <xdr:spPr>
        <a:xfrm>
          <a:off x="685800" y="21450300"/>
          <a:ext cx="10047619" cy="4600000"/>
        </a:xfrm>
        <a:prstGeom prst="rect">
          <a:avLst/>
        </a:prstGeom>
      </xdr:spPr>
    </xdr:pic>
    <xdr:clientData/>
  </xdr:twoCellAnchor>
  <xdr:twoCellAnchor editAs="oneCell">
    <xdr:from>
      <xdr:col>0</xdr:col>
      <xdr:colOff>266700</xdr:colOff>
      <xdr:row>95</xdr:row>
      <xdr:rowOff>38100</xdr:rowOff>
    </xdr:from>
    <xdr:to>
      <xdr:col>13</xdr:col>
      <xdr:colOff>808311</xdr:colOff>
      <xdr:row>127</xdr:row>
      <xdr:rowOff>56483</xdr:rowOff>
    </xdr:to>
    <xdr:pic>
      <xdr:nvPicPr>
        <xdr:cNvPr id="5" name="Picture 4">
          <a:extLst>
            <a:ext uri="{FF2B5EF4-FFF2-40B4-BE49-F238E27FC236}">
              <a16:creationId xmlns:a16="http://schemas.microsoft.com/office/drawing/2014/main" id="{BF810E3D-A363-4124-8FC8-9C9EA9A59872}"/>
            </a:ext>
          </a:extLst>
        </xdr:cNvPr>
        <xdr:cNvPicPr>
          <a:picLocks noChangeAspect="1"/>
        </xdr:cNvPicPr>
      </xdr:nvPicPr>
      <xdr:blipFill>
        <a:blip xmlns:r="http://schemas.openxmlformats.org/officeDocument/2006/relationships" r:embed="rId2"/>
        <a:stretch>
          <a:fillRect/>
        </a:stretch>
      </xdr:blipFill>
      <xdr:spPr>
        <a:xfrm>
          <a:off x="266700" y="16097250"/>
          <a:ext cx="10514286" cy="5333333"/>
        </a:xfrm>
        <a:prstGeom prst="rect">
          <a:avLst/>
        </a:prstGeom>
      </xdr:spPr>
    </xdr:pic>
    <xdr:clientData/>
  </xdr:twoCellAnchor>
  <xdr:twoCellAnchor editAs="oneCell">
    <xdr:from>
      <xdr:col>0</xdr:col>
      <xdr:colOff>1876425</xdr:colOff>
      <xdr:row>36</xdr:row>
      <xdr:rowOff>19050</xdr:rowOff>
    </xdr:from>
    <xdr:to>
      <xdr:col>9</xdr:col>
      <xdr:colOff>381000</xdr:colOff>
      <xdr:row>89</xdr:row>
      <xdr:rowOff>115389</xdr:rowOff>
    </xdr:to>
    <xdr:pic>
      <xdr:nvPicPr>
        <xdr:cNvPr id="2" name="Picture 1">
          <a:extLst>
            <a:ext uri="{FF2B5EF4-FFF2-40B4-BE49-F238E27FC236}">
              <a16:creationId xmlns:a16="http://schemas.microsoft.com/office/drawing/2014/main" id="{50569B31-7E53-43E8-BFAF-B38EA0CCFBB3}"/>
            </a:ext>
          </a:extLst>
        </xdr:cNvPr>
        <xdr:cNvPicPr>
          <a:picLocks noChangeAspect="1"/>
        </xdr:cNvPicPr>
      </xdr:nvPicPr>
      <xdr:blipFill rotWithShape="1">
        <a:blip xmlns:r="http://schemas.openxmlformats.org/officeDocument/2006/relationships" r:embed="rId3"/>
        <a:srcRect l="1" r="568" b="769"/>
        <a:stretch/>
      </xdr:blipFill>
      <xdr:spPr>
        <a:xfrm>
          <a:off x="1876425" y="6477000"/>
          <a:ext cx="6372225" cy="8678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385"/>
  <sheetViews>
    <sheetView zoomScale="82" zoomScaleNormal="82" zoomScaleSheetLayoutView="80" workbookViewId="0">
      <selection activeCell="J347" sqref="J347"/>
    </sheetView>
  </sheetViews>
  <sheetFormatPr defaultRowHeight="15.75"/>
  <cols>
    <col min="1" max="1" width="7.42578125" style="326" customWidth="1"/>
    <col min="2" max="2" width="5.7109375" style="331" customWidth="1"/>
    <col min="3" max="3" width="64" style="331" customWidth="1"/>
    <col min="4" max="4" width="35.7109375" style="331" customWidth="1"/>
    <col min="5" max="5" width="25.7109375" style="320" customWidth="1"/>
    <col min="6" max="6" width="65.7109375" style="233" customWidth="1"/>
    <col min="7" max="7" width="2.7109375" style="233" customWidth="1"/>
    <col min="8" max="8" width="26.140625" style="233" customWidth="1"/>
    <col min="9" max="9" width="3.28515625" style="321" customWidth="1"/>
    <col min="10" max="10" width="7.42578125" style="233" customWidth="1"/>
    <col min="11" max="11" width="16.7109375" customWidth="1"/>
    <col min="12" max="12" width="4.140625" customWidth="1"/>
    <col min="13" max="13" width="32.85546875" customWidth="1"/>
    <col min="14" max="14" width="9.140625" style="233" customWidth="1"/>
    <col min="15" max="15" width="19.42578125" style="233" customWidth="1"/>
    <col min="16" max="17" width="9.140625" style="233" customWidth="1"/>
    <col min="18" max="18" width="12.42578125" style="233" customWidth="1"/>
    <col min="19" max="16384" width="9.140625" style="233"/>
  </cols>
  <sheetData>
    <row r="1" spans="1:16" ht="30">
      <c r="A1" s="1"/>
      <c r="C1" s="331" t="s">
        <v>101</v>
      </c>
      <c r="F1" s="1108"/>
      <c r="H1" s="370"/>
      <c r="I1" s="1110"/>
      <c r="J1" s="409"/>
    </row>
    <row r="2" spans="1:16" ht="27.75">
      <c r="A2" s="1"/>
      <c r="D2" s="545" t="s">
        <v>379</v>
      </c>
      <c r="F2" s="546"/>
      <c r="H2" s="370"/>
      <c r="I2" s="1110"/>
      <c r="J2" s="409"/>
    </row>
    <row r="3" spans="1:16" s="550" customFormat="1" ht="25.5" customHeight="1" thickBot="1">
      <c r="A3" s="547"/>
      <c r="B3" s="548"/>
      <c r="C3" s="548"/>
      <c r="D3" s="548"/>
      <c r="E3" s="549"/>
      <c r="J3" s="409"/>
      <c r="K3"/>
      <c r="L3"/>
      <c r="M3"/>
    </row>
    <row r="4" spans="1:16" ht="27.75" customHeight="1" thickBot="1">
      <c r="A4" s="551" t="s">
        <v>344</v>
      </c>
      <c r="B4" s="552"/>
      <c r="C4" s="552"/>
      <c r="D4" s="552"/>
      <c r="E4" s="553"/>
      <c r="F4" s="554"/>
      <c r="H4" s="577"/>
      <c r="I4" s="549"/>
      <c r="J4" s="12"/>
    </row>
    <row r="5" spans="1:16" s="409" customFormat="1" ht="42" customHeight="1" thickBot="1">
      <c r="A5" s="555" t="s">
        <v>380</v>
      </c>
      <c r="B5" s="556"/>
      <c r="C5" s="557"/>
      <c r="D5" s="557"/>
      <c r="E5" s="558" t="s">
        <v>381</v>
      </c>
      <c r="F5" s="559" t="s">
        <v>382</v>
      </c>
      <c r="G5" s="560"/>
      <c r="H5" s="561" t="s">
        <v>2004</v>
      </c>
      <c r="I5" s="1167"/>
      <c r="K5"/>
      <c r="L5"/>
      <c r="M5"/>
    </row>
    <row r="6" spans="1:16" s="568" customFormat="1" ht="23.25" customHeight="1">
      <c r="A6" s="562" t="s">
        <v>383</v>
      </c>
      <c r="B6" s="563"/>
      <c r="C6" s="564"/>
      <c r="D6" s="564"/>
      <c r="E6" s="565"/>
      <c r="F6" s="566"/>
      <c r="G6" s="567"/>
      <c r="H6" s="566"/>
      <c r="I6" s="566"/>
      <c r="K6"/>
      <c r="L6"/>
      <c r="M6"/>
    </row>
    <row r="7" spans="1:16" s="321" customFormat="1">
      <c r="A7" s="569" t="s">
        <v>384</v>
      </c>
      <c r="B7" s="570"/>
      <c r="C7" s="571"/>
      <c r="D7" s="571"/>
      <c r="E7" s="572"/>
      <c r="F7" s="573"/>
      <c r="G7" s="573"/>
      <c r="H7" s="387"/>
      <c r="I7" s="575"/>
      <c r="K7"/>
      <c r="L7"/>
      <c r="M7"/>
      <c r="N7"/>
      <c r="O7"/>
      <c r="P7"/>
    </row>
    <row r="8" spans="1:16" s="321" customFormat="1">
      <c r="A8" s="351"/>
      <c r="B8" s="407"/>
      <c r="C8" s="407"/>
      <c r="D8" s="407"/>
      <c r="E8" s="565"/>
      <c r="F8" s="574"/>
      <c r="G8" s="574"/>
      <c r="H8" s="575"/>
      <c r="I8" s="575"/>
      <c r="K8"/>
      <c r="L8"/>
      <c r="M8"/>
      <c r="N8"/>
      <c r="O8"/>
      <c r="P8"/>
    </row>
    <row r="9" spans="1:16" ht="18" customHeight="1">
      <c r="A9" s="327"/>
      <c r="B9" s="358" t="s">
        <v>385</v>
      </c>
      <c r="E9" s="389"/>
      <c r="F9" s="342"/>
      <c r="G9" s="342"/>
      <c r="H9" s="342"/>
      <c r="I9" s="343"/>
      <c r="N9"/>
      <c r="O9"/>
      <c r="P9"/>
    </row>
    <row r="10" spans="1:16">
      <c r="A10" s="335">
        <v>1</v>
      </c>
      <c r="B10" s="335"/>
      <c r="C10" s="574" t="s">
        <v>386</v>
      </c>
      <c r="D10" s="576"/>
      <c r="E10" s="577"/>
      <c r="F10" s="342" t="s">
        <v>387</v>
      </c>
      <c r="G10" s="331"/>
      <c r="H10" s="578">
        <v>7463965</v>
      </c>
      <c r="I10" s="1168"/>
      <c r="N10"/>
      <c r="O10"/>
      <c r="P10"/>
    </row>
    <row r="11" spans="1:16">
      <c r="A11" s="320"/>
      <c r="N11"/>
      <c r="O11"/>
      <c r="P11"/>
    </row>
    <row r="12" spans="1:16">
      <c r="A12" s="335">
        <v>2</v>
      </c>
      <c r="B12" s="335"/>
      <c r="C12" s="574" t="s">
        <v>388</v>
      </c>
      <c r="D12" s="574"/>
      <c r="E12" s="579"/>
      <c r="F12" s="574" t="s">
        <v>389</v>
      </c>
      <c r="G12" s="331"/>
      <c r="H12" s="578">
        <v>73668637</v>
      </c>
      <c r="I12" s="1168"/>
      <c r="N12"/>
      <c r="O12"/>
      <c r="P12"/>
    </row>
    <row r="13" spans="1:16">
      <c r="A13" s="335">
        <v>3</v>
      </c>
      <c r="B13" s="335"/>
      <c r="C13" s="574" t="s">
        <v>390</v>
      </c>
      <c r="D13" s="574"/>
      <c r="F13" s="574" t="s">
        <v>391</v>
      </c>
      <c r="G13" s="331"/>
      <c r="H13" s="580">
        <v>5438313</v>
      </c>
      <c r="I13" s="1169"/>
      <c r="N13"/>
      <c r="O13"/>
      <c r="P13"/>
    </row>
    <row r="14" spans="1:16">
      <c r="A14" s="335">
        <v>4</v>
      </c>
      <c r="B14" s="335"/>
      <c r="C14" s="581" t="s">
        <v>59</v>
      </c>
      <c r="D14" s="362"/>
      <c r="E14" s="582"/>
      <c r="F14" s="362" t="s">
        <v>939</v>
      </c>
      <c r="G14" s="359"/>
      <c r="H14" s="362">
        <f>H12-H13</f>
        <v>68230324</v>
      </c>
      <c r="I14" s="334"/>
      <c r="N14"/>
      <c r="O14"/>
      <c r="P14"/>
    </row>
    <row r="15" spans="1:16">
      <c r="A15" s="335"/>
      <c r="B15" s="335"/>
      <c r="C15" s="346"/>
      <c r="E15" s="389"/>
      <c r="F15" s="331"/>
      <c r="G15" s="331"/>
      <c r="H15" s="342"/>
      <c r="I15" s="343"/>
      <c r="N15"/>
      <c r="O15"/>
      <c r="P15"/>
    </row>
    <row r="16" spans="1:16" ht="16.5" thickBot="1">
      <c r="A16" s="335">
        <v>5</v>
      </c>
      <c r="B16" s="583" t="s">
        <v>351</v>
      </c>
      <c r="C16" s="583"/>
      <c r="D16" s="584"/>
      <c r="E16" s="585"/>
      <c r="F16" s="586" t="s">
        <v>940</v>
      </c>
      <c r="G16" s="587"/>
      <c r="H16" s="588">
        <f>+H10/H14</f>
        <v>0.10939366197352368</v>
      </c>
      <c r="I16" s="1165"/>
      <c r="N16"/>
      <c r="O16"/>
      <c r="P16"/>
    </row>
    <row r="17" spans="1:16" ht="16.5" thickTop="1">
      <c r="A17" s="335"/>
      <c r="B17" s="335"/>
      <c r="C17" s="358"/>
      <c r="D17" s="354"/>
      <c r="E17" s="363"/>
      <c r="F17" s="331"/>
      <c r="G17" s="331"/>
      <c r="H17" s="589"/>
      <c r="I17" s="1170"/>
      <c r="N17"/>
      <c r="O17"/>
      <c r="P17"/>
    </row>
    <row r="18" spans="1:16">
      <c r="A18" s="320"/>
      <c r="B18" s="358" t="s">
        <v>69</v>
      </c>
      <c r="D18" s="233"/>
      <c r="N18"/>
      <c r="O18"/>
      <c r="P18"/>
    </row>
    <row r="19" spans="1:16">
      <c r="A19" s="327">
        <v>6</v>
      </c>
      <c r="B19" s="233"/>
      <c r="C19" s="574" t="s">
        <v>186</v>
      </c>
      <c r="E19" s="590" t="str">
        <f>"(Note "&amp;B$334&amp;")"</f>
        <v>(Note B)</v>
      </c>
      <c r="F19" s="574" t="s">
        <v>908</v>
      </c>
      <c r="H19" s="578">
        <f>'9A - Gross Plant &amp; ARO'!K24</f>
        <v>9819674751.8869209</v>
      </c>
      <c r="I19" s="1168"/>
      <c r="N19"/>
      <c r="O19"/>
      <c r="P19"/>
    </row>
    <row r="20" spans="1:16">
      <c r="A20" s="327" t="s">
        <v>937</v>
      </c>
      <c r="B20" s="327"/>
      <c r="C20" s="358" t="s">
        <v>882</v>
      </c>
      <c r="D20" s="354"/>
      <c r="E20" s="577"/>
      <c r="F20" s="343" t="s">
        <v>938</v>
      </c>
      <c r="H20" s="578">
        <f>+'10 - Merger Costs'!C103</f>
        <v>2115776</v>
      </c>
      <c r="I20" s="1168"/>
      <c r="N20"/>
      <c r="O20"/>
      <c r="P20"/>
    </row>
    <row r="21" spans="1:16">
      <c r="A21" s="327">
        <v>7</v>
      </c>
      <c r="B21" s="233"/>
      <c r="C21" s="574" t="s">
        <v>392</v>
      </c>
      <c r="E21" s="590"/>
      <c r="F21" s="340" t="str">
        <f>"(Line "&amp;A$54&amp;" - "&amp;A$55&amp;")"</f>
        <v>(Line 24 - 24a)</v>
      </c>
      <c r="H21" s="343">
        <f>H54-H55</f>
        <v>0</v>
      </c>
      <c r="I21" s="343"/>
      <c r="N21"/>
      <c r="O21"/>
      <c r="P21"/>
    </row>
    <row r="22" spans="1:16">
      <c r="A22" s="327">
        <v>8</v>
      </c>
      <c r="B22" s="233"/>
      <c r="C22" s="591" t="s">
        <v>393</v>
      </c>
      <c r="D22" s="359"/>
      <c r="E22" s="592"/>
      <c r="F22" s="362" t="str">
        <f>"(Line "&amp;A19&amp;" - "&amp;A20&amp;" +"&amp;A21&amp;")"</f>
        <v>(Line 6 - 6a +7)</v>
      </c>
      <c r="G22" s="593"/>
      <c r="H22" s="357">
        <f>+H19-H20+H21</f>
        <v>9817558975.8869209</v>
      </c>
      <c r="I22" s="334"/>
      <c r="N22"/>
      <c r="O22"/>
      <c r="P22"/>
    </row>
    <row r="23" spans="1:16">
      <c r="A23" s="577"/>
      <c r="B23" s="233"/>
      <c r="C23" s="574"/>
      <c r="E23" s="594"/>
      <c r="F23" s="574"/>
      <c r="H23" s="343"/>
      <c r="I23" s="343"/>
      <c r="N23"/>
      <c r="O23"/>
      <c r="P23"/>
    </row>
    <row r="24" spans="1:16">
      <c r="A24" s="327">
        <f>+A22+1</f>
        <v>9</v>
      </c>
      <c r="B24" s="233"/>
      <c r="C24" s="574" t="s">
        <v>187</v>
      </c>
      <c r="E24" s="1098"/>
      <c r="F24" s="574" t="s">
        <v>989</v>
      </c>
      <c r="H24" s="578">
        <f>+'9A - Gross Plant &amp; ARO'!C64</f>
        <v>3267552035.7984624</v>
      </c>
      <c r="I24" s="1168"/>
      <c r="N24"/>
      <c r="O24"/>
      <c r="P24"/>
    </row>
    <row r="25" spans="1:16">
      <c r="A25" s="327" t="s">
        <v>982</v>
      </c>
      <c r="B25" s="321"/>
      <c r="C25" s="358" t="s">
        <v>882</v>
      </c>
      <c r="D25" s="354"/>
      <c r="E25" s="577"/>
      <c r="F25" s="343" t="s">
        <v>987</v>
      </c>
      <c r="H25" s="578">
        <f>+'10 - Merger Costs'!C51</f>
        <v>78068.196784166648</v>
      </c>
      <c r="I25" s="1168"/>
      <c r="N25"/>
      <c r="O25"/>
      <c r="P25"/>
    </row>
    <row r="26" spans="1:16">
      <c r="A26" s="327">
        <f>+A24+1</f>
        <v>10</v>
      </c>
      <c r="B26" s="233"/>
      <c r="C26" s="574" t="s">
        <v>188</v>
      </c>
      <c r="E26" s="590" t="str">
        <f>"(Note "&amp;B$333&amp;")"</f>
        <v>(Note A)</v>
      </c>
      <c r="F26" s="343" t="s">
        <v>990</v>
      </c>
      <c r="H26" s="578">
        <f>+'9 - Rate Base'!I24</f>
        <v>47804551.857692309</v>
      </c>
      <c r="I26" s="1168"/>
      <c r="N26"/>
      <c r="O26"/>
      <c r="P26"/>
    </row>
    <row r="27" spans="1:16">
      <c r="A27" s="327" t="s">
        <v>983</v>
      </c>
      <c r="B27" s="321"/>
      <c r="C27" s="358" t="s">
        <v>882</v>
      </c>
      <c r="D27" s="354"/>
      <c r="E27" s="577"/>
      <c r="F27" s="343" t="s">
        <v>1015</v>
      </c>
      <c r="H27" s="578">
        <f>+'9 - Rate Base'!I25</f>
        <v>930299.60769230756</v>
      </c>
      <c r="I27" s="1168"/>
      <c r="N27"/>
      <c r="O27"/>
      <c r="P27"/>
    </row>
    <row r="28" spans="1:16">
      <c r="A28" s="327">
        <f>+A26+1</f>
        <v>11</v>
      </c>
      <c r="B28" s="233"/>
      <c r="C28" s="574" t="s">
        <v>394</v>
      </c>
      <c r="E28" s="590" t="str">
        <f>"(Note "&amp;B$333&amp;")"</f>
        <v>(Note A)</v>
      </c>
      <c r="F28" s="343" t="s">
        <v>991</v>
      </c>
      <c r="H28" s="595">
        <f>+'9 - Rate Base'!J24</f>
        <v>0</v>
      </c>
      <c r="I28" s="343"/>
      <c r="N28"/>
      <c r="O28"/>
      <c r="P28"/>
    </row>
    <row r="29" spans="1:16">
      <c r="A29" s="327" t="s">
        <v>994</v>
      </c>
      <c r="B29" s="321"/>
      <c r="C29" s="358" t="s">
        <v>882</v>
      </c>
      <c r="D29" s="354"/>
      <c r="E29" s="577"/>
      <c r="F29" s="343" t="s">
        <v>992</v>
      </c>
      <c r="H29" s="595">
        <f>+'9 - Rate Base'!J25</f>
        <v>0</v>
      </c>
      <c r="I29" s="343"/>
      <c r="N29"/>
      <c r="O29"/>
      <c r="P29"/>
    </row>
    <row r="30" spans="1:16">
      <c r="A30" s="327">
        <f>+A28+1</f>
        <v>12</v>
      </c>
      <c r="C30" s="407" t="s">
        <v>396</v>
      </c>
      <c r="E30" s="590" t="str">
        <f>"(Note "&amp;B$333&amp;")"</f>
        <v>(Note A)</v>
      </c>
      <c r="F30" s="343" t="s">
        <v>993</v>
      </c>
      <c r="H30" s="595">
        <f>+'9 - Rate Base'!H24</f>
        <v>0</v>
      </c>
      <c r="I30" s="343"/>
      <c r="N30"/>
      <c r="O30"/>
      <c r="P30"/>
    </row>
    <row r="31" spans="1:16">
      <c r="A31" s="327" t="s">
        <v>995</v>
      </c>
      <c r="B31" s="321"/>
      <c r="C31" s="358" t="s">
        <v>882</v>
      </c>
      <c r="D31" s="354"/>
      <c r="E31" s="577"/>
      <c r="F31" s="343" t="s">
        <v>1013</v>
      </c>
      <c r="H31" s="595">
        <f>+'9 - Rate Base'!H25</f>
        <v>0</v>
      </c>
      <c r="I31" s="343"/>
      <c r="N31"/>
      <c r="O31"/>
      <c r="P31"/>
    </row>
    <row r="32" spans="1:16">
      <c r="A32" s="327">
        <v>13</v>
      </c>
      <c r="C32" s="591" t="s">
        <v>397</v>
      </c>
      <c r="D32" s="359"/>
      <c r="E32" s="596"/>
      <c r="F32" s="362" t="str">
        <f>"(Line "&amp;A24&amp;" - "&amp;A25&amp;" + "&amp;A26&amp;" - "&amp;A27&amp;" + "&amp;A28&amp;" - "&amp;A29&amp;" + "&amp;A30&amp;" - "&amp;A31&amp;")"</f>
        <v>(Line 9 - 9a + 10 - 10a + 11 - 11a + 12 - 12a)</v>
      </c>
      <c r="G32" s="593"/>
      <c r="H32" s="357">
        <f>H24-H25+H26-H27+H28-H29+H30-H31</f>
        <v>3314348219.8516784</v>
      </c>
      <c r="I32" s="334"/>
      <c r="N32"/>
      <c r="O32"/>
      <c r="P32"/>
    </row>
    <row r="33" spans="1:16" ht="17.25" customHeight="1">
      <c r="A33" s="320"/>
      <c r="C33" s="407"/>
      <c r="F33" s="342"/>
      <c r="H33" s="597"/>
      <c r="I33" s="599"/>
      <c r="N33"/>
      <c r="O33"/>
      <c r="P33"/>
    </row>
    <row r="34" spans="1:16">
      <c r="A34" s="335">
        <v>14</v>
      </c>
      <c r="B34" s="233"/>
      <c r="C34" s="593" t="s">
        <v>398</v>
      </c>
      <c r="D34" s="593"/>
      <c r="E34" s="596"/>
      <c r="F34" s="362" t="s">
        <v>942</v>
      </c>
      <c r="G34" s="593"/>
      <c r="H34" s="362">
        <f>+H22-H32</f>
        <v>6503210756.0352421</v>
      </c>
      <c r="I34" s="334"/>
      <c r="N34"/>
      <c r="O34"/>
      <c r="P34"/>
    </row>
    <row r="35" spans="1:16">
      <c r="A35" s="320"/>
      <c r="B35" s="233"/>
      <c r="C35" s="233"/>
      <c r="D35" s="233"/>
      <c r="N35"/>
      <c r="O35"/>
      <c r="P35"/>
    </row>
    <row r="36" spans="1:16">
      <c r="A36" s="327">
        <v>15</v>
      </c>
      <c r="B36" s="233"/>
      <c r="C36" s="233" t="s">
        <v>399</v>
      </c>
      <c r="D36" s="233"/>
      <c r="F36" s="340" t="s">
        <v>943</v>
      </c>
      <c r="H36" s="597">
        <f>+H62-H60</f>
        <v>1812634120.1226363</v>
      </c>
      <c r="I36" s="599"/>
      <c r="N36"/>
      <c r="O36"/>
      <c r="P36"/>
    </row>
    <row r="37" spans="1:16" ht="16.5" thickBot="1">
      <c r="A37" s="335">
        <v>16</v>
      </c>
      <c r="B37" s="382" t="s">
        <v>298</v>
      </c>
      <c r="C37" s="382"/>
      <c r="D37" s="382"/>
      <c r="E37" s="598"/>
      <c r="F37" s="586" t="s">
        <v>944</v>
      </c>
      <c r="G37" s="382"/>
      <c r="H37" s="588">
        <f>+H36/(H22)</f>
        <v>0.18463185447367098</v>
      </c>
      <c r="I37" s="1165"/>
      <c r="N37"/>
      <c r="O37"/>
      <c r="P37"/>
    </row>
    <row r="38" spans="1:16" ht="16.5" thickTop="1">
      <c r="A38" s="320"/>
      <c r="N38"/>
      <c r="O38"/>
      <c r="P38"/>
    </row>
    <row r="39" spans="1:16">
      <c r="A39" s="327">
        <v>17</v>
      </c>
      <c r="B39" s="335"/>
      <c r="C39" s="358" t="s">
        <v>400</v>
      </c>
      <c r="D39" s="354"/>
      <c r="E39" s="363"/>
      <c r="F39" s="340" t="s">
        <v>945</v>
      </c>
      <c r="G39" s="331"/>
      <c r="H39" s="599">
        <f>+H81-H60</f>
        <v>1250151150.3584585</v>
      </c>
      <c r="I39" s="599"/>
      <c r="N39"/>
      <c r="O39"/>
      <c r="P39"/>
    </row>
    <row r="40" spans="1:16" ht="16.5" thickBot="1">
      <c r="A40" s="335">
        <v>18</v>
      </c>
      <c r="B40" s="382" t="s">
        <v>401</v>
      </c>
      <c r="C40" s="382"/>
      <c r="D40" s="382"/>
      <c r="E40" s="598"/>
      <c r="F40" s="586" t="s">
        <v>946</v>
      </c>
      <c r="G40" s="382"/>
      <c r="H40" s="600">
        <f>+H39/H34</f>
        <v>0.19223598884570484</v>
      </c>
      <c r="I40" s="1165"/>
      <c r="N40"/>
      <c r="O40"/>
      <c r="P40"/>
    </row>
    <row r="41" spans="1:16" ht="16.5" thickTop="1">
      <c r="A41" s="335"/>
      <c r="B41" s="626"/>
      <c r="C41" s="626"/>
      <c r="D41" s="626"/>
      <c r="E41" s="579"/>
      <c r="F41" s="333"/>
      <c r="G41" s="626"/>
      <c r="H41" s="1165"/>
      <c r="I41" s="1165"/>
      <c r="N41"/>
      <c r="O41"/>
      <c r="P41"/>
    </row>
    <row r="42" spans="1:16">
      <c r="A42" s="336"/>
      <c r="B42" s="335"/>
      <c r="C42" s="358"/>
      <c r="D42" s="354"/>
      <c r="E42" s="363"/>
      <c r="F42" s="331"/>
      <c r="G42" s="331"/>
      <c r="H42" s="589"/>
      <c r="I42" s="1170"/>
      <c r="N42"/>
      <c r="O42"/>
      <c r="P42"/>
    </row>
    <row r="43" spans="1:16" s="321" customFormat="1">
      <c r="A43" s="601" t="s">
        <v>402</v>
      </c>
      <c r="B43" s="602"/>
      <c r="C43" s="571"/>
      <c r="D43" s="571"/>
      <c r="E43" s="603"/>
      <c r="F43" s="573"/>
      <c r="G43" s="573"/>
      <c r="H43" s="387"/>
      <c r="I43" s="575"/>
      <c r="K43"/>
      <c r="L43"/>
      <c r="M43"/>
      <c r="N43"/>
      <c r="O43"/>
      <c r="P43"/>
    </row>
    <row r="44" spans="1:16" s="321" customFormat="1">
      <c r="A44" s="604"/>
      <c r="B44" s="605"/>
      <c r="C44" s="407"/>
      <c r="D44" s="407"/>
      <c r="E44" s="606"/>
      <c r="F44" s="574"/>
      <c r="G44" s="574"/>
      <c r="H44" s="575"/>
      <c r="I44" s="575"/>
      <c r="K44"/>
      <c r="L44"/>
      <c r="M44"/>
      <c r="N44"/>
      <c r="O44"/>
      <c r="P44"/>
    </row>
    <row r="45" spans="1:16">
      <c r="A45" s="320"/>
      <c r="B45" s="358" t="s">
        <v>71</v>
      </c>
      <c r="E45" s="363"/>
      <c r="F45" s="343"/>
      <c r="G45" s="327"/>
      <c r="H45" s="342"/>
      <c r="I45" s="343"/>
      <c r="N45"/>
      <c r="O45"/>
      <c r="P45"/>
    </row>
    <row r="46" spans="1:16">
      <c r="A46" s="327">
        <v>19</v>
      </c>
      <c r="B46" s="335"/>
      <c r="C46" s="346" t="s">
        <v>403</v>
      </c>
      <c r="E46" s="590" t="str">
        <f>"(Note "&amp;B$334&amp;")"</f>
        <v>(Note B)</v>
      </c>
      <c r="F46" s="343" t="s">
        <v>1008</v>
      </c>
      <c r="G46" s="331"/>
      <c r="H46" s="578">
        <f>+'9 - Rate Base'!C24</f>
        <v>1759323170.5161541</v>
      </c>
      <c r="I46" s="1168"/>
      <c r="N46"/>
      <c r="O46"/>
      <c r="P46"/>
    </row>
    <row r="47" spans="1:16">
      <c r="A47" s="327" t="s">
        <v>996</v>
      </c>
      <c r="B47" s="321"/>
      <c r="C47" s="358" t="s">
        <v>882</v>
      </c>
      <c r="D47" s="354"/>
      <c r="E47" s="577"/>
      <c r="F47" s="343" t="s">
        <v>997</v>
      </c>
      <c r="G47" s="331"/>
      <c r="H47" s="595">
        <f>+'9 - Rate Base'!C25</f>
        <v>0</v>
      </c>
      <c r="I47" s="343"/>
      <c r="N47"/>
      <c r="O47"/>
      <c r="P47"/>
    </row>
    <row r="48" spans="1:16">
      <c r="A48" s="327">
        <v>20</v>
      </c>
      <c r="B48" s="327"/>
      <c r="C48" s="358" t="s">
        <v>930</v>
      </c>
      <c r="D48" s="354"/>
      <c r="E48" s="363"/>
      <c r="F48" s="351"/>
      <c r="G48" s="331"/>
      <c r="H48" s="1085">
        <v>0</v>
      </c>
      <c r="I48" s="1085"/>
      <c r="N48"/>
      <c r="O48"/>
      <c r="P48"/>
    </row>
    <row r="49" spans="1:16">
      <c r="A49" s="327">
        <v>21</v>
      </c>
      <c r="B49" s="327"/>
      <c r="C49" s="718" t="s">
        <v>930</v>
      </c>
      <c r="D49" s="664"/>
      <c r="E49" s="612"/>
      <c r="F49" s="400"/>
      <c r="G49" s="337"/>
      <c r="H49" s="1086">
        <v>0</v>
      </c>
      <c r="I49" s="1085"/>
      <c r="N49"/>
      <c r="O49"/>
      <c r="P49"/>
    </row>
    <row r="50" spans="1:16">
      <c r="A50" s="327">
        <v>22</v>
      </c>
      <c r="B50" s="335"/>
      <c r="C50" s="346" t="s">
        <v>405</v>
      </c>
      <c r="E50" s="590"/>
      <c r="F50" s="362" t="str">
        <f>"(Line "&amp;A46&amp;" -"&amp;A47&amp;")"</f>
        <v>(Line 19 -19a)</v>
      </c>
      <c r="G50" s="331"/>
      <c r="H50" s="343">
        <f>H46-H47+H48+H49</f>
        <v>1759323170.5161541</v>
      </c>
      <c r="I50" s="343"/>
      <c r="N50"/>
      <c r="O50"/>
      <c r="P50"/>
    </row>
    <row r="51" spans="1:16" s="321" customFormat="1">
      <c r="A51" s="327"/>
      <c r="B51" s="327"/>
      <c r="C51" s="358"/>
      <c r="D51" s="354"/>
      <c r="E51" s="577"/>
      <c r="F51" s="343"/>
      <c r="G51" s="354"/>
      <c r="H51" s="343"/>
      <c r="I51" s="343"/>
      <c r="K51"/>
      <c r="L51"/>
      <c r="M51"/>
      <c r="N51"/>
      <c r="O51"/>
      <c r="P51"/>
    </row>
    <row r="52" spans="1:16">
      <c r="A52" s="327">
        <v>23</v>
      </c>
      <c r="B52" s="335"/>
      <c r="C52" s="346" t="s">
        <v>189</v>
      </c>
      <c r="F52" s="343" t="s">
        <v>1009</v>
      </c>
      <c r="G52" s="331"/>
      <c r="H52" s="595">
        <f>+'9 - Rate Base'!D24</f>
        <v>489447022.11355549</v>
      </c>
      <c r="I52" s="343"/>
      <c r="N52"/>
      <c r="O52"/>
      <c r="P52"/>
    </row>
    <row r="53" spans="1:16">
      <c r="A53" s="327" t="s">
        <v>998</v>
      </c>
      <c r="B53" s="327"/>
      <c r="C53" s="358" t="s">
        <v>882</v>
      </c>
      <c r="D53" s="354"/>
      <c r="E53" s="577"/>
      <c r="F53" s="343" t="s">
        <v>999</v>
      </c>
      <c r="G53" s="331"/>
      <c r="H53" s="595">
        <f>+'9 - Rate Base'!D25</f>
        <v>2115776</v>
      </c>
      <c r="I53" s="343"/>
      <c r="N53"/>
      <c r="O53"/>
      <c r="P53"/>
    </row>
    <row r="54" spans="1:16">
      <c r="A54" s="327">
        <v>24</v>
      </c>
      <c r="B54" s="335"/>
      <c r="C54" s="346" t="s">
        <v>406</v>
      </c>
      <c r="E54" s="590" t="str">
        <f>"(Notes "&amp;B$333&amp;" &amp; "&amp;B$334&amp;")"</f>
        <v>(Notes A &amp; B)</v>
      </c>
      <c r="F54" s="334" t="s">
        <v>1010</v>
      </c>
      <c r="G54" s="331"/>
      <c r="H54" s="608">
        <f>+'9 - Rate Base'!E24</f>
        <v>0</v>
      </c>
      <c r="I54" s="334"/>
      <c r="N54"/>
      <c r="O54"/>
      <c r="P54"/>
    </row>
    <row r="55" spans="1:16">
      <c r="A55" s="327" t="s">
        <v>1000</v>
      </c>
      <c r="B55" s="327"/>
      <c r="C55" s="358" t="s">
        <v>882</v>
      </c>
      <c r="D55" s="354"/>
      <c r="E55" s="577"/>
      <c r="F55" s="349" t="s">
        <v>1001</v>
      </c>
      <c r="G55" s="331"/>
      <c r="H55" s="595">
        <f>+'9 - Rate Base'!E25</f>
        <v>0</v>
      </c>
      <c r="I55" s="343"/>
      <c r="N55"/>
      <c r="O55"/>
      <c r="P55"/>
    </row>
    <row r="56" spans="1:16">
      <c r="A56" s="327">
        <v>25</v>
      </c>
      <c r="B56" s="335"/>
      <c r="C56" s="581" t="s">
        <v>407</v>
      </c>
      <c r="D56" s="359"/>
      <c r="E56" s="596"/>
      <c r="F56" s="362" t="str">
        <f>"(Line "&amp;A52&amp;" -"&amp;A53&amp;" + "&amp;A54&amp;" - "&amp;A55&amp;")"</f>
        <v>(Line 23 -23a + 24 - 24a)</v>
      </c>
      <c r="G56" s="359"/>
      <c r="H56" s="362">
        <f>H52-H53+H54-H55</f>
        <v>487331246.11355549</v>
      </c>
      <c r="I56" s="334"/>
      <c r="N56"/>
      <c r="O56"/>
      <c r="P56"/>
    </row>
    <row r="57" spans="1:16">
      <c r="A57" s="327">
        <v>26</v>
      </c>
      <c r="B57" s="335"/>
      <c r="C57" s="609" t="s">
        <v>408</v>
      </c>
      <c r="D57" s="358"/>
      <c r="E57" s="363"/>
      <c r="F57" s="340" t="str">
        <f>"(Line "&amp;A$16&amp;")"</f>
        <v>(Line 5)</v>
      </c>
      <c r="G57" s="610"/>
      <c r="H57" s="611">
        <f>+H16</f>
        <v>0.10939366197352368</v>
      </c>
      <c r="I57" s="1171"/>
      <c r="N57"/>
      <c r="O57"/>
      <c r="P57"/>
    </row>
    <row r="58" spans="1:16">
      <c r="A58" s="327">
        <v>27</v>
      </c>
      <c r="B58" s="233"/>
      <c r="C58" s="356" t="s">
        <v>409</v>
      </c>
      <c r="D58" s="591"/>
      <c r="E58" s="582"/>
      <c r="F58" s="333" t="str">
        <f>"(Line "&amp;A56&amp;" * "&amp;A57&amp;")"</f>
        <v>(Line 25 * 26)</v>
      </c>
      <c r="G58" s="593"/>
      <c r="H58" s="362">
        <f>+H57*H56</f>
        <v>53310949.606482364</v>
      </c>
      <c r="I58" s="334"/>
      <c r="N58"/>
      <c r="O58"/>
      <c r="P58"/>
    </row>
    <row r="59" spans="1:16">
      <c r="A59" s="577"/>
      <c r="B59" s="233"/>
      <c r="C59" s="358"/>
      <c r="D59" s="321"/>
      <c r="E59" s="612"/>
      <c r="H59" s="333"/>
      <c r="I59" s="334"/>
      <c r="N59"/>
      <c r="O59"/>
      <c r="P59"/>
    </row>
    <row r="60" spans="1:16">
      <c r="A60" s="327">
        <v>28</v>
      </c>
      <c r="B60" s="335"/>
      <c r="C60" s="356" t="s">
        <v>410</v>
      </c>
      <c r="D60" s="613"/>
      <c r="E60" s="590" t="str">
        <f>"(Note "&amp;B$339&amp;")"</f>
        <v>(Note C)</v>
      </c>
      <c r="F60" s="357" t="s">
        <v>910</v>
      </c>
      <c r="G60" s="359"/>
      <c r="H60" s="614">
        <f>+'9 - Rate Base'!D47</f>
        <v>0</v>
      </c>
      <c r="I60" s="334"/>
      <c r="N60"/>
      <c r="O60"/>
      <c r="P60"/>
    </row>
    <row r="61" spans="1:16">
      <c r="A61" s="577"/>
      <c r="B61" s="233"/>
      <c r="C61" s="358"/>
      <c r="D61" s="321"/>
      <c r="E61" s="577"/>
      <c r="H61" s="333"/>
      <c r="I61" s="334"/>
      <c r="N61"/>
      <c r="O61"/>
      <c r="P61"/>
    </row>
    <row r="62" spans="1:16" s="409" customFormat="1" ht="16.5" thickBot="1">
      <c r="A62" s="327">
        <v>29</v>
      </c>
      <c r="B62" s="382" t="s">
        <v>411</v>
      </c>
      <c r="C62" s="382"/>
      <c r="D62" s="382"/>
      <c r="E62" s="598"/>
      <c r="F62" s="586" t="str">
        <f>"(Line "&amp;A50&amp;" + "&amp;A58&amp;" + "&amp;A60&amp;")"</f>
        <v>(Line 22 + 27 + 28)</v>
      </c>
      <c r="G62" s="382"/>
      <c r="H62" s="615">
        <f>SUM(H50,H58,H60)</f>
        <v>1812634120.1226363</v>
      </c>
      <c r="I62" s="717"/>
      <c r="J62" s="233"/>
      <c r="K62"/>
      <c r="L62"/>
      <c r="M62"/>
      <c r="N62"/>
      <c r="O62"/>
      <c r="P62"/>
    </row>
    <row r="63" spans="1:16" ht="16.5" thickTop="1">
      <c r="A63" s="577"/>
      <c r="B63" s="233"/>
      <c r="C63" s="233"/>
      <c r="D63" s="233"/>
      <c r="N63"/>
      <c r="O63"/>
      <c r="P63"/>
    </row>
    <row r="64" spans="1:16">
      <c r="A64" s="327"/>
      <c r="B64" s="358" t="s">
        <v>88</v>
      </c>
      <c r="C64" s="358"/>
      <c r="D64" s="343"/>
      <c r="E64" s="389"/>
      <c r="F64" s="342"/>
      <c r="G64" s="396"/>
      <c r="H64" s="342"/>
      <c r="I64" s="343"/>
      <c r="N64"/>
      <c r="O64"/>
      <c r="P64"/>
    </row>
    <row r="65" spans="1:16">
      <c r="A65" s="577"/>
      <c r="B65" s="354"/>
      <c r="C65" s="354"/>
      <c r="D65" s="354"/>
      <c r="F65" s="342"/>
      <c r="G65" s="342"/>
      <c r="H65" s="342"/>
      <c r="I65" s="343"/>
      <c r="N65"/>
      <c r="O65"/>
      <c r="P65"/>
    </row>
    <row r="66" spans="1:16">
      <c r="A66" s="327">
        <v>30</v>
      </c>
      <c r="B66" s="335"/>
      <c r="C66" s="346" t="s">
        <v>412</v>
      </c>
      <c r="E66" s="590" t="str">
        <f>"(Note "&amp;B$334&amp;")"</f>
        <v>(Note B)</v>
      </c>
      <c r="F66" s="343" t="s">
        <v>1005</v>
      </c>
      <c r="G66" s="331"/>
      <c r="H66" s="595">
        <f>+'9 - Rate Base'!F24</f>
        <v>542544783.30769229</v>
      </c>
      <c r="I66" s="343"/>
      <c r="N66"/>
      <c r="O66"/>
      <c r="P66"/>
    </row>
    <row r="67" spans="1:16">
      <c r="A67" s="327" t="s">
        <v>1002</v>
      </c>
      <c r="B67" s="321"/>
      <c r="C67" s="718" t="s">
        <v>882</v>
      </c>
      <c r="D67" s="664"/>
      <c r="E67" s="612"/>
      <c r="F67" s="349" t="s">
        <v>1006</v>
      </c>
      <c r="G67" s="337"/>
      <c r="H67" s="690">
        <f>+'9 - Rate Base'!F25</f>
        <v>0</v>
      </c>
      <c r="I67" s="334"/>
      <c r="N67"/>
      <c r="O67"/>
      <c r="P67"/>
    </row>
    <row r="68" spans="1:16">
      <c r="A68" s="327" t="s">
        <v>1003</v>
      </c>
      <c r="B68" s="321"/>
      <c r="C68" s="358" t="s">
        <v>1004</v>
      </c>
      <c r="D68" s="354"/>
      <c r="E68" s="577"/>
      <c r="F68" s="343" t="str">
        <f>"(Line "&amp;A66&amp;" - "&amp;A67&amp;")"</f>
        <v>(Line 30 - 30a)</v>
      </c>
      <c r="G68" s="331"/>
      <c r="H68" s="595">
        <f>+H66-H67</f>
        <v>542544783.30769229</v>
      </c>
      <c r="I68" s="343"/>
      <c r="N68"/>
      <c r="O68"/>
      <c r="P68"/>
    </row>
    <row r="69" spans="1:16" s="321" customFormat="1">
      <c r="A69" s="327"/>
      <c r="B69" s="327"/>
      <c r="C69" s="354"/>
      <c r="D69" s="358"/>
      <c r="E69" s="577"/>
      <c r="F69" s="343"/>
      <c r="G69" s="354"/>
      <c r="H69" s="343"/>
      <c r="I69" s="343"/>
      <c r="K69"/>
      <c r="L69"/>
      <c r="M69"/>
      <c r="N69"/>
      <c r="O69"/>
      <c r="P69"/>
    </row>
    <row r="70" spans="1:16">
      <c r="A70" s="327">
        <v>31</v>
      </c>
      <c r="B70" s="335"/>
      <c r="C70" s="346" t="s">
        <v>193</v>
      </c>
      <c r="F70" s="343" t="s">
        <v>1011</v>
      </c>
      <c r="G70" s="331"/>
      <c r="H70" s="595">
        <f>+'9 - Rate Base'!G24</f>
        <v>135464708.36769229</v>
      </c>
      <c r="I70" s="343"/>
      <c r="N70"/>
      <c r="O70"/>
      <c r="P70"/>
    </row>
    <row r="71" spans="1:16">
      <c r="A71" s="327" t="s">
        <v>1007</v>
      </c>
      <c r="B71" s="327"/>
      <c r="C71" s="358" t="s">
        <v>882</v>
      </c>
      <c r="D71" s="354"/>
      <c r="E71" s="577"/>
      <c r="F71" s="343" t="s">
        <v>1012</v>
      </c>
      <c r="G71" s="331"/>
      <c r="H71" s="595">
        <f>+'9 - Rate Base'!G25</f>
        <v>78068.196784166648</v>
      </c>
      <c r="I71" s="343"/>
      <c r="N71"/>
      <c r="O71"/>
      <c r="P71"/>
    </row>
    <row r="72" spans="1:16">
      <c r="A72" s="327">
        <v>32</v>
      </c>
      <c r="B72" s="335"/>
      <c r="C72" s="346" t="s">
        <v>188</v>
      </c>
      <c r="F72" s="333" t="str">
        <f>"(Line "&amp;A$26&amp;" - "&amp;A$27&amp;")"</f>
        <v>(Line 10 - 10a)</v>
      </c>
      <c r="G72" s="331"/>
      <c r="H72" s="343">
        <f>+H26-H27</f>
        <v>46874252.25</v>
      </c>
      <c r="I72" s="343"/>
      <c r="N72"/>
      <c r="O72"/>
      <c r="P72"/>
    </row>
    <row r="73" spans="1:16">
      <c r="A73" s="327">
        <v>33</v>
      </c>
      <c r="B73" s="335"/>
      <c r="C73" s="346" t="s">
        <v>394</v>
      </c>
      <c r="E73" s="590"/>
      <c r="F73" s="333" t="str">
        <f>"(Line "&amp;A$28&amp;" - "&amp;A$29&amp;")"</f>
        <v>(Line 11 - 11a)</v>
      </c>
      <c r="G73" s="331"/>
      <c r="H73" s="343">
        <f>+H28-H29</f>
        <v>0</v>
      </c>
      <c r="I73" s="343"/>
      <c r="N73"/>
      <c r="O73"/>
      <c r="P73"/>
    </row>
    <row r="74" spans="1:16">
      <c r="A74" s="327">
        <v>34</v>
      </c>
      <c r="B74" s="335"/>
      <c r="C74" s="372" t="s">
        <v>413</v>
      </c>
      <c r="D74" s="337"/>
      <c r="E74" s="616"/>
      <c r="F74" s="340" t="str">
        <f>"(Line "&amp;A$30&amp;" - "&amp;A$31&amp;")"</f>
        <v>(Line 12 - 12a)</v>
      </c>
      <c r="G74" s="331"/>
      <c r="H74" s="349">
        <f>+H30-H31</f>
        <v>0</v>
      </c>
      <c r="I74" s="334"/>
      <c r="N74"/>
      <c r="O74"/>
      <c r="P74"/>
    </row>
    <row r="75" spans="1:16">
      <c r="A75" s="327">
        <v>35</v>
      </c>
      <c r="B75" s="335"/>
      <c r="C75" s="617" t="s">
        <v>397</v>
      </c>
      <c r="D75" s="330"/>
      <c r="E75" s="618"/>
      <c r="F75" s="362" t="str">
        <f>"(Line "&amp;A70&amp;" - "&amp;A71&amp;" + "&amp;A72&amp;" + "&amp;A73&amp;" + "&amp;A74&amp;")"</f>
        <v>(Line 31 - 31a + 32 + 33 + 34)</v>
      </c>
      <c r="G75" s="333"/>
      <c r="H75" s="333">
        <f>H70-H71+H72+H73+H74</f>
        <v>182260892.42090812</v>
      </c>
      <c r="I75" s="334"/>
      <c r="N75"/>
      <c r="O75"/>
      <c r="P75"/>
    </row>
    <row r="76" spans="1:16">
      <c r="A76" s="327">
        <v>36</v>
      </c>
      <c r="B76" s="335"/>
      <c r="C76" s="617" t="s">
        <v>408</v>
      </c>
      <c r="D76" s="330"/>
      <c r="E76" s="618"/>
      <c r="F76" s="340" t="str">
        <f>"(Line "&amp;A$16&amp;")"</f>
        <v>(Line 5)</v>
      </c>
      <c r="G76" s="333"/>
      <c r="H76" s="619">
        <f>+H16</f>
        <v>0.10939366197352368</v>
      </c>
      <c r="I76" s="1172"/>
      <c r="N76"/>
      <c r="O76"/>
      <c r="P76"/>
    </row>
    <row r="77" spans="1:16">
      <c r="A77" s="327">
        <v>37</v>
      </c>
      <c r="B77" s="233"/>
      <c r="C77" s="581" t="s">
        <v>414</v>
      </c>
      <c r="D77" s="593"/>
      <c r="E77" s="596"/>
      <c r="F77" s="333" t="str">
        <f>"(Line "&amp;A75&amp;" * "&amp;A76&amp;")"</f>
        <v>(Line 35 * 36)</v>
      </c>
      <c r="G77" s="593"/>
      <c r="H77" s="362">
        <f>+H76*H75</f>
        <v>19938186.456485588</v>
      </c>
      <c r="I77" s="334"/>
      <c r="N77"/>
      <c r="O77"/>
      <c r="P77"/>
    </row>
    <row r="78" spans="1:16">
      <c r="A78" s="577"/>
      <c r="B78" s="233"/>
      <c r="C78" s="233"/>
      <c r="D78" s="233"/>
      <c r="N78"/>
      <c r="O78"/>
      <c r="P78"/>
    </row>
    <row r="79" spans="1:16" ht="16.5" thickBot="1">
      <c r="A79" s="327">
        <v>38</v>
      </c>
      <c r="B79" s="382" t="s">
        <v>415</v>
      </c>
      <c r="C79" s="382"/>
      <c r="D79" s="382"/>
      <c r="E79" s="598"/>
      <c r="F79" s="586" t="str">
        <f>"(Line "&amp;A68&amp;" + "&amp;A77&amp;")"</f>
        <v>(Line 30b + 37)</v>
      </c>
      <c r="G79" s="382"/>
      <c r="H79" s="615">
        <f>+H77+H68</f>
        <v>562482969.76417792</v>
      </c>
      <c r="I79" s="717"/>
      <c r="N79"/>
      <c r="O79"/>
      <c r="P79"/>
    </row>
    <row r="80" spans="1:16" ht="16.5" thickTop="1">
      <c r="A80" s="577"/>
      <c r="B80" s="233"/>
      <c r="C80" s="233"/>
      <c r="D80" s="233"/>
      <c r="N80"/>
      <c r="O80"/>
      <c r="P80"/>
    </row>
    <row r="81" spans="1:16" ht="16.5" thickBot="1">
      <c r="A81" s="327">
        <v>39</v>
      </c>
      <c r="B81" s="382" t="s">
        <v>416</v>
      </c>
      <c r="C81" s="382"/>
      <c r="D81" s="382"/>
      <c r="E81" s="598"/>
      <c r="F81" s="586" t="str">
        <f>"(Line "&amp;A62&amp;" - "&amp;A79&amp;")"</f>
        <v>(Line 29 - 38)</v>
      </c>
      <c r="G81" s="382"/>
      <c r="H81" s="615">
        <f>+H62-H79</f>
        <v>1250151150.3584585</v>
      </c>
      <c r="I81" s="717"/>
      <c r="N81"/>
      <c r="O81"/>
      <c r="P81"/>
    </row>
    <row r="82" spans="1:16" ht="16.5" thickTop="1">
      <c r="A82" s="320"/>
      <c r="B82" s="233"/>
      <c r="C82" s="233"/>
      <c r="D82" s="233"/>
      <c r="N82"/>
      <c r="O82"/>
      <c r="P82"/>
    </row>
    <row r="83" spans="1:16">
      <c r="A83" s="601" t="s">
        <v>417</v>
      </c>
      <c r="B83" s="571"/>
      <c r="C83" s="571"/>
      <c r="D83" s="571"/>
      <c r="E83" s="603"/>
      <c r="F83" s="573"/>
      <c r="G83" s="573"/>
      <c r="H83" s="324"/>
      <c r="N83"/>
      <c r="O83"/>
      <c r="P83"/>
    </row>
    <row r="84" spans="1:16">
      <c r="A84" s="620"/>
      <c r="B84" s="621"/>
      <c r="C84" s="621"/>
      <c r="D84" s="621"/>
      <c r="N84"/>
      <c r="O84"/>
      <c r="P84"/>
    </row>
    <row r="85" spans="1:16">
      <c r="A85" s="577"/>
      <c r="B85" s="1411" t="s">
        <v>1025</v>
      </c>
      <c r="C85" s="1396"/>
      <c r="D85" s="1397"/>
      <c r="E85" s="1412"/>
      <c r="F85" s="1397"/>
      <c r="G85" s="1396"/>
      <c r="H85" s="1401"/>
      <c r="N85"/>
      <c r="O85"/>
      <c r="P85"/>
    </row>
    <row r="86" spans="1:16">
      <c r="A86" s="577" t="s">
        <v>1026</v>
      </c>
      <c r="B86" s="1411"/>
      <c r="C86" s="1398" t="s">
        <v>1027</v>
      </c>
      <c r="D86" s="1469" t="str">
        <f>'1A - ADIT Summary'!D177</f>
        <v>True-Up Adjustment</v>
      </c>
      <c r="E86" s="1406" t="s">
        <v>1183</v>
      </c>
      <c r="F86" s="1397" t="s">
        <v>1447</v>
      </c>
      <c r="G86" s="1396"/>
      <c r="H86" s="1720">
        <f>IF('1A - ADIT Summary'!$D$177="True-Up Adjustment", '1A - ADIT Summary'!R38,'1A - ADIT Summary'!L38)</f>
        <v>4092634.8459409559</v>
      </c>
      <c r="N86"/>
      <c r="O86"/>
      <c r="P86"/>
    </row>
    <row r="87" spans="1:16">
      <c r="A87" s="577" t="s">
        <v>1028</v>
      </c>
      <c r="B87" s="1411"/>
      <c r="C87" s="1398" t="s">
        <v>1029</v>
      </c>
      <c r="D87" s="1469" t="str">
        <f>D86</f>
        <v>True-Up Adjustment</v>
      </c>
      <c r="E87" s="1406" t="s">
        <v>1183</v>
      </c>
      <c r="F87" s="1397" t="s">
        <v>1448</v>
      </c>
      <c r="G87" s="1396"/>
      <c r="H87" s="1720">
        <f>IF('1A - ADIT Summary'!$D$177="True-Up Adjustment", '1A - ADIT Summary'!R71,'1A - ADIT Summary'!L71)</f>
        <v>0</v>
      </c>
      <c r="N87"/>
      <c r="O87"/>
      <c r="P87"/>
    </row>
    <row r="88" spans="1:16">
      <c r="A88" s="577" t="s">
        <v>1030</v>
      </c>
      <c r="B88" s="1411"/>
      <c r="C88" s="1398" t="s">
        <v>1449</v>
      </c>
      <c r="D88" s="1469" t="str">
        <f>D87</f>
        <v>True-Up Adjustment</v>
      </c>
      <c r="E88" s="1406" t="s">
        <v>1183</v>
      </c>
      <c r="F88" s="1397" t="s">
        <v>1450</v>
      </c>
      <c r="G88" s="1396"/>
      <c r="H88" s="1720">
        <f>IF('1A - ADIT Summary'!$D$177="True-Up Adjustment", '1A - ADIT Summary'!R104,'1A - ADIT Summary'!L104)</f>
        <v>-227615466.52999899</v>
      </c>
      <c r="N88"/>
      <c r="O88"/>
      <c r="P88"/>
    </row>
    <row r="89" spans="1:16">
      <c r="A89" s="577" t="s">
        <v>1031</v>
      </c>
      <c r="B89" s="1413"/>
      <c r="C89" s="1398" t="s">
        <v>1032</v>
      </c>
      <c r="D89" s="1469" t="str">
        <f>D88</f>
        <v>True-Up Adjustment</v>
      </c>
      <c r="E89" s="1406" t="s">
        <v>1183</v>
      </c>
      <c r="F89" s="1397" t="s">
        <v>1451</v>
      </c>
      <c r="G89" s="1396"/>
      <c r="H89" s="1720">
        <f>IF('1A - ADIT Summary'!$D$177="True-Up Adjustment", '1A - ADIT Summary'!R137,'1A - ADIT Summary'!L137)</f>
        <v>-10679662.913297012</v>
      </c>
      <c r="N89"/>
      <c r="O89"/>
      <c r="P89"/>
    </row>
    <row r="90" spans="1:16">
      <c r="A90" s="577" t="s">
        <v>1452</v>
      </c>
      <c r="B90" s="1397"/>
      <c r="C90" s="1404" t="s">
        <v>1033</v>
      </c>
      <c r="D90" s="1469" t="str">
        <f>D89</f>
        <v>True-Up Adjustment</v>
      </c>
      <c r="E90" s="1410" t="s">
        <v>1453</v>
      </c>
      <c r="F90" s="1418" t="s">
        <v>1454</v>
      </c>
      <c r="G90" s="1403"/>
      <c r="H90" s="1721">
        <f>IF('1A - ADIT Summary'!$D$177="True-Up Adjustment", '1A - ADIT Summary'!R170,'1A - ADIT Summary'!L170)</f>
        <v>0</v>
      </c>
      <c r="N90"/>
      <c r="O90"/>
      <c r="P90"/>
    </row>
    <row r="91" spans="1:16">
      <c r="A91" s="577" t="s">
        <v>1455</v>
      </c>
      <c r="B91" s="1397"/>
      <c r="C91" s="1414" t="s">
        <v>421</v>
      </c>
      <c r="D91" s="1407"/>
      <c r="E91" s="1408"/>
      <c r="F91" s="1399" t="s">
        <v>1456</v>
      </c>
      <c r="G91" s="1407"/>
      <c r="H91" s="1722">
        <f>H86+H87+H88+H89+H90</f>
        <v>-234202494.59735507</v>
      </c>
      <c r="N91"/>
      <c r="O91"/>
      <c r="P91"/>
    </row>
    <row r="92" spans="1:16">
      <c r="A92" s="577"/>
      <c r="B92" s="1397"/>
      <c r="C92" s="1413"/>
      <c r="D92" s="1405"/>
      <c r="E92" s="1409"/>
      <c r="F92" s="1405"/>
      <c r="G92" s="1415"/>
      <c r="H92" s="1723"/>
      <c r="N92"/>
      <c r="O92"/>
      <c r="P92"/>
    </row>
    <row r="93" spans="1:16">
      <c r="A93" s="327"/>
      <c r="B93" s="1397" t="s">
        <v>1457</v>
      </c>
      <c r="C93" s="1411"/>
      <c r="D93" s="1405"/>
      <c r="E93" s="1409"/>
      <c r="F93" s="1400"/>
      <c r="G93" s="1405"/>
      <c r="H93" s="1723"/>
      <c r="N93"/>
      <c r="O93"/>
      <c r="P93"/>
    </row>
    <row r="94" spans="1:16">
      <c r="A94" s="327" t="s">
        <v>1458</v>
      </c>
      <c r="B94" s="1397"/>
      <c r="C94" s="1411" t="s">
        <v>1459</v>
      </c>
      <c r="D94" s="1405" t="str">
        <f>D90</f>
        <v>True-Up Adjustment</v>
      </c>
      <c r="E94" s="1406" t="s">
        <v>1184</v>
      </c>
      <c r="F94" s="1400" t="s">
        <v>1460</v>
      </c>
      <c r="G94" s="1405"/>
      <c r="H94" s="1724">
        <f>IF('1D - EDIT Rate Base Adjustment'!D237="True-Up Adjustment",'1D - EDIT Rate Base Adjustment'!N117,'1D - EDIT Rate Base Adjustment'!H117)</f>
        <v>-76877355.905662879</v>
      </c>
      <c r="N94"/>
      <c r="O94"/>
      <c r="P94"/>
    </row>
    <row r="95" spans="1:16">
      <c r="A95" s="327" t="s">
        <v>1461</v>
      </c>
      <c r="B95" s="1397"/>
      <c r="C95" s="1417" t="s">
        <v>1462</v>
      </c>
      <c r="D95" s="1418" t="str">
        <f>D90</f>
        <v>True-Up Adjustment</v>
      </c>
      <c r="E95" s="1410" t="s">
        <v>1184</v>
      </c>
      <c r="F95" s="1402" t="s">
        <v>1463</v>
      </c>
      <c r="G95" s="1418"/>
      <c r="H95" s="1725">
        <f>IF('1D - EDIT Rate Base Adjustment'!D237="True-Up Adjustment",'1D - EDIT Rate Base Adjustment'!N230,'1D - EDIT Rate Base Adjustment'!H230)</f>
        <v>-1522676.65</v>
      </c>
      <c r="N95"/>
      <c r="O95"/>
      <c r="P95"/>
    </row>
    <row r="96" spans="1:16">
      <c r="A96" s="327">
        <v>42</v>
      </c>
      <c r="B96" s="1397"/>
      <c r="C96" s="1411" t="s">
        <v>1464</v>
      </c>
      <c r="D96" s="1405"/>
      <c r="E96" s="1409"/>
      <c r="F96" s="1399" t="s">
        <v>1465</v>
      </c>
      <c r="G96" s="1405"/>
      <c r="H96" s="1723">
        <f>H94+H95</f>
        <v>-78400032.555662885</v>
      </c>
      <c r="N96"/>
      <c r="O96"/>
      <c r="P96"/>
    </row>
    <row r="97" spans="1:16">
      <c r="A97" s="327"/>
      <c r="B97" s="1397"/>
      <c r="C97" s="1411"/>
      <c r="D97" s="1405"/>
      <c r="E97" s="1409"/>
      <c r="F97" s="1402"/>
      <c r="G97" s="1405"/>
      <c r="H97" s="1723"/>
      <c r="N97"/>
      <c r="O97"/>
      <c r="P97"/>
    </row>
    <row r="98" spans="1:16">
      <c r="A98" s="327">
        <v>43</v>
      </c>
      <c r="B98" s="1397"/>
      <c r="C98" s="1414" t="s">
        <v>1466</v>
      </c>
      <c r="D98" s="1407"/>
      <c r="E98" s="1408"/>
      <c r="F98" s="1399" t="s">
        <v>1467</v>
      </c>
      <c r="G98" s="1407"/>
      <c r="H98" s="1726">
        <f>H91+H96</f>
        <v>-312602527.15301794</v>
      </c>
      <c r="N98"/>
      <c r="O98"/>
      <c r="P98"/>
    </row>
    <row r="99" spans="1:16">
      <c r="A99" s="1707"/>
      <c r="B99" s="621"/>
      <c r="C99" s="621"/>
      <c r="D99" s="621"/>
      <c r="E99" s="1367"/>
      <c r="N99"/>
      <c r="O99"/>
      <c r="P99"/>
    </row>
    <row r="100" spans="1:16">
      <c r="A100" s="327" t="s">
        <v>422</v>
      </c>
      <c r="B100" s="622" t="s">
        <v>423</v>
      </c>
      <c r="D100" s="574"/>
      <c r="E100" s="590" t="s">
        <v>424</v>
      </c>
      <c r="F100" s="334" t="s">
        <v>1018</v>
      </c>
      <c r="G100" s="574"/>
      <c r="H100" s="628">
        <f>+'9 - Rate Base'!C47</f>
        <v>0</v>
      </c>
      <c r="I100" s="627"/>
      <c r="N100"/>
      <c r="O100"/>
      <c r="P100"/>
    </row>
    <row r="101" spans="1:16" ht="15" customHeight="1">
      <c r="A101" s="327"/>
      <c r="B101" s="233"/>
      <c r="D101" s="574"/>
      <c r="E101" s="590"/>
      <c r="F101" s="334"/>
      <c r="G101" s="626"/>
      <c r="H101" s="627"/>
      <c r="I101" s="627"/>
      <c r="N101"/>
      <c r="O101"/>
      <c r="P101"/>
    </row>
    <row r="102" spans="1:16" ht="18">
      <c r="A102" s="327" t="s">
        <v>425</v>
      </c>
      <c r="B102" s="629" t="s">
        <v>426</v>
      </c>
      <c r="C102" s="630"/>
      <c r="D102" s="631"/>
      <c r="E102" s="631"/>
      <c r="F102" s="1111" t="s">
        <v>911</v>
      </c>
      <c r="G102" s="626"/>
      <c r="H102" s="627">
        <f>+'9 - Rate Base'!I47</f>
        <v>535645.97999999975</v>
      </c>
      <c r="I102" s="627"/>
      <c r="N102"/>
      <c r="O102"/>
      <c r="P102"/>
    </row>
    <row r="103" spans="1:16" ht="18">
      <c r="A103" s="233"/>
      <c r="B103" s="233"/>
      <c r="C103" s="630"/>
      <c r="D103" s="631"/>
      <c r="E103" s="631"/>
      <c r="F103" s="631"/>
      <c r="G103" s="626"/>
      <c r="H103" s="627"/>
      <c r="I103" s="627"/>
      <c r="N103"/>
      <c r="O103"/>
      <c r="P103"/>
    </row>
    <row r="104" spans="1:16" s="321" customFormat="1">
      <c r="A104" s="327"/>
      <c r="B104" s="321" t="s">
        <v>428</v>
      </c>
      <c r="C104" s="623"/>
      <c r="D104" s="574"/>
      <c r="E104" s="594"/>
      <c r="F104" s="334"/>
      <c r="G104" s="574"/>
      <c r="H104" s="627"/>
      <c r="I104" s="627"/>
      <c r="K104"/>
      <c r="L104"/>
      <c r="M104"/>
      <c r="N104"/>
      <c r="O104"/>
      <c r="P104"/>
    </row>
    <row r="105" spans="1:16">
      <c r="A105" s="577">
        <v>44</v>
      </c>
      <c r="B105" s="321"/>
      <c r="C105" s="622" t="s">
        <v>1179</v>
      </c>
      <c r="D105" s="574"/>
      <c r="E105" s="594" t="s">
        <v>420</v>
      </c>
      <c r="F105" s="1111" t="s">
        <v>427</v>
      </c>
      <c r="G105" s="626"/>
      <c r="H105" s="627">
        <f>+'5 - Cost Support 1'!AC136</f>
        <v>-9694627.2903989702</v>
      </c>
      <c r="I105" s="627"/>
      <c r="N105"/>
      <c r="O105"/>
      <c r="P105"/>
    </row>
    <row r="106" spans="1:16">
      <c r="A106" s="327"/>
      <c r="B106" s="632"/>
      <c r="C106" s="354"/>
      <c r="D106" s="354"/>
      <c r="E106" s="577"/>
      <c r="F106" s="633"/>
      <c r="G106" s="412"/>
      <c r="N106"/>
      <c r="O106"/>
      <c r="P106"/>
    </row>
    <row r="107" spans="1:16">
      <c r="A107" s="327"/>
      <c r="B107" s="328" t="s">
        <v>130</v>
      </c>
      <c r="C107" s="328"/>
      <c r="D107" s="354"/>
      <c r="E107" s="577"/>
      <c r="F107" s="634"/>
      <c r="G107" s="635"/>
      <c r="N107"/>
      <c r="O107"/>
      <c r="P107"/>
    </row>
    <row r="108" spans="1:16">
      <c r="A108" s="327">
        <v>45</v>
      </c>
      <c r="B108" s="636"/>
      <c r="C108" s="637" t="s">
        <v>134</v>
      </c>
      <c r="D108" s="616"/>
      <c r="E108" s="616" t="str">
        <f>"(Note "&amp;B$333&amp;")"</f>
        <v>(Note A)</v>
      </c>
      <c r="F108" s="637" t="s">
        <v>912</v>
      </c>
      <c r="G108" s="638"/>
      <c r="H108" s="627">
        <f>+'9 - Rate Base'!G47</f>
        <v>32596414.623429202</v>
      </c>
      <c r="I108" s="627"/>
      <c r="J108" s="597"/>
      <c r="N108"/>
      <c r="O108"/>
      <c r="P108"/>
    </row>
    <row r="109" spans="1:16">
      <c r="A109" s="335">
        <v>46</v>
      </c>
      <c r="B109" s="632"/>
      <c r="C109" s="321" t="s">
        <v>429</v>
      </c>
      <c r="D109" s="359"/>
      <c r="E109" s="639"/>
      <c r="F109" s="334" t="s">
        <v>951</v>
      </c>
      <c r="G109" s="405"/>
      <c r="H109" s="640">
        <f>+H108</f>
        <v>32596414.623429202</v>
      </c>
      <c r="I109" s="627"/>
      <c r="J109" s="597"/>
      <c r="N109"/>
      <c r="O109"/>
      <c r="P109"/>
    </row>
    <row r="110" spans="1:16">
      <c r="A110" s="327"/>
      <c r="B110" s="632"/>
      <c r="C110" s="354"/>
      <c r="F110" s="412"/>
      <c r="G110" s="412"/>
      <c r="N110"/>
      <c r="O110"/>
      <c r="P110"/>
    </row>
    <row r="111" spans="1:16">
      <c r="A111" s="335"/>
      <c r="B111" s="632"/>
      <c r="C111" s="328"/>
      <c r="E111" s="335"/>
      <c r="F111" s="635"/>
      <c r="G111" s="635"/>
      <c r="H111" s="641"/>
      <c r="I111" s="1173"/>
      <c r="N111"/>
      <c r="O111"/>
      <c r="P111"/>
    </row>
    <row r="112" spans="1:16">
      <c r="A112" s="327"/>
      <c r="B112" s="328" t="s">
        <v>73</v>
      </c>
      <c r="C112" s="321"/>
      <c r="D112" s="321"/>
      <c r="E112" s="642"/>
      <c r="F112" s="638"/>
      <c r="G112" s="635"/>
      <c r="H112" s="641"/>
      <c r="I112" s="1173"/>
      <c r="N112"/>
      <c r="O112"/>
      <c r="P112"/>
    </row>
    <row r="113" spans="1:16">
      <c r="A113" s="577">
        <v>47</v>
      </c>
      <c r="B113" s="321"/>
      <c r="C113" s="321" t="s">
        <v>430</v>
      </c>
      <c r="D113" s="354"/>
      <c r="E113" s="590" t="str">
        <f>"(Note "&amp;B$333&amp;")"</f>
        <v>(Note A)</v>
      </c>
      <c r="F113" s="328" t="s">
        <v>913</v>
      </c>
      <c r="H113" s="643">
        <f>+'9 - Rate Base'!F47</f>
        <v>0</v>
      </c>
      <c r="I113" s="417"/>
      <c r="J113" s="597"/>
      <c r="N113"/>
      <c r="O113"/>
      <c r="P113"/>
    </row>
    <row r="114" spans="1:16" s="321" customFormat="1">
      <c r="A114" s="327">
        <v>48</v>
      </c>
      <c r="B114" s="632"/>
      <c r="C114" s="637" t="s">
        <v>408</v>
      </c>
      <c r="D114" s="400"/>
      <c r="E114" s="644"/>
      <c r="F114" s="340" t="str">
        <f>"(Line "&amp;A$16&amp;")"</f>
        <v>(Line 5)</v>
      </c>
      <c r="G114" s="645"/>
      <c r="H114" s="397">
        <f>+H16</f>
        <v>0.10939366197352368</v>
      </c>
      <c r="I114" s="397"/>
      <c r="K114"/>
      <c r="L114"/>
      <c r="M114"/>
      <c r="N114"/>
      <c r="O114"/>
      <c r="P114"/>
    </row>
    <row r="115" spans="1:16">
      <c r="A115" s="327">
        <v>49</v>
      </c>
      <c r="B115" s="632"/>
      <c r="C115" s="328" t="s">
        <v>431</v>
      </c>
      <c r="D115" s="354"/>
      <c r="E115" s="577"/>
      <c r="F115" s="333" t="str">
        <f>"(Line "&amp;A113&amp;" * "&amp;A114&amp;")"</f>
        <v>(Line 47 * 48)</v>
      </c>
      <c r="G115" s="635"/>
      <c r="H115" s="640">
        <f>+H113*H114</f>
        <v>0</v>
      </c>
      <c r="I115" s="627"/>
      <c r="N115"/>
      <c r="O115"/>
      <c r="P115"/>
    </row>
    <row r="116" spans="1:16">
      <c r="A116" s="327">
        <v>50</v>
      </c>
      <c r="B116" s="632"/>
      <c r="C116" s="328" t="s">
        <v>432</v>
      </c>
      <c r="D116" s="354"/>
      <c r="E116" s="616" t="s">
        <v>1468</v>
      </c>
      <c r="F116" s="637" t="s">
        <v>1388</v>
      </c>
      <c r="G116" s="635"/>
      <c r="H116" s="643">
        <f>+'9 - Rate Base'!E47</f>
        <v>11937627.967459116</v>
      </c>
      <c r="I116" s="417"/>
      <c r="N116"/>
      <c r="O116"/>
      <c r="P116"/>
    </row>
    <row r="117" spans="1:16" ht="18" customHeight="1">
      <c r="A117" s="327">
        <v>51</v>
      </c>
      <c r="B117" s="632"/>
      <c r="C117" s="591" t="s">
        <v>433</v>
      </c>
      <c r="D117" s="359"/>
      <c r="E117" s="639"/>
      <c r="F117" s="333" t="str">
        <f>"(Line "&amp;A115&amp;" + "&amp;A116&amp;")"</f>
        <v>(Line 49 + 50)</v>
      </c>
      <c r="G117" s="405"/>
      <c r="H117" s="646">
        <f>SUM(H115:H116)</f>
        <v>11937627.967459116</v>
      </c>
      <c r="I117" s="717"/>
      <c r="N117"/>
      <c r="O117"/>
      <c r="P117"/>
    </row>
    <row r="118" spans="1:16">
      <c r="A118" s="327"/>
      <c r="B118" s="632"/>
      <c r="C118" s="328"/>
      <c r="E118" s="335"/>
      <c r="F118" s="635"/>
      <c r="G118" s="635"/>
      <c r="N118"/>
      <c r="O118"/>
      <c r="P118"/>
    </row>
    <row r="119" spans="1:16">
      <c r="A119" s="327"/>
      <c r="B119" s="328" t="s">
        <v>434</v>
      </c>
      <c r="C119" s="321"/>
      <c r="F119" s="635"/>
      <c r="G119" s="635"/>
      <c r="N119"/>
      <c r="O119"/>
      <c r="P119"/>
    </row>
    <row r="120" spans="1:16">
      <c r="A120" s="327">
        <v>52</v>
      </c>
      <c r="B120" s="632"/>
      <c r="C120" s="328" t="s">
        <v>435</v>
      </c>
      <c r="D120" s="326"/>
      <c r="F120" s="333" t="str">
        <f>"(Line "&amp;A$171&amp;")"</f>
        <v>(Line 85)</v>
      </c>
      <c r="G120" s="635"/>
      <c r="H120" s="647">
        <f>+H171</f>
        <v>46492903.615140311</v>
      </c>
      <c r="I120" s="647"/>
      <c r="J120" s="597"/>
      <c r="N120"/>
      <c r="O120"/>
      <c r="P120"/>
    </row>
    <row r="121" spans="1:16">
      <c r="A121" s="327">
        <v>53</v>
      </c>
      <c r="B121" s="632"/>
      <c r="C121" s="353" t="s">
        <v>436</v>
      </c>
      <c r="D121" s="326"/>
      <c r="F121" s="371" t="s">
        <v>437</v>
      </c>
      <c r="H121" s="648">
        <v>0.125</v>
      </c>
      <c r="I121" s="1174"/>
      <c r="N121"/>
      <c r="O121"/>
      <c r="P121"/>
    </row>
    <row r="122" spans="1:16" s="409" customFormat="1">
      <c r="A122" s="327">
        <v>54</v>
      </c>
      <c r="B122" s="632"/>
      <c r="C122" s="624" t="s">
        <v>438</v>
      </c>
      <c r="D122" s="361"/>
      <c r="E122" s="596"/>
      <c r="F122" s="333" t="str">
        <f>"(Line "&amp;A120&amp;" * "&amp;A121&amp;")"</f>
        <v>(Line 52 * 53)</v>
      </c>
      <c r="G122" s="593"/>
      <c r="H122" s="649">
        <f>+H120*H121</f>
        <v>5811612.9518925389</v>
      </c>
      <c r="I122" s="633"/>
      <c r="J122" s="233"/>
      <c r="K122"/>
      <c r="L122"/>
      <c r="M122"/>
      <c r="N122"/>
      <c r="O122"/>
      <c r="P122"/>
    </row>
    <row r="123" spans="1:16" s="409" customFormat="1">
      <c r="A123" s="327"/>
      <c r="B123" s="632"/>
      <c r="C123" s="622"/>
      <c r="D123" s="341"/>
      <c r="E123" s="579"/>
      <c r="F123" s="333"/>
      <c r="G123" s="626"/>
      <c r="H123" s="412"/>
      <c r="I123" s="633"/>
      <c r="K123"/>
      <c r="L123"/>
      <c r="M123"/>
      <c r="N123"/>
      <c r="O123"/>
      <c r="P123"/>
    </row>
    <row r="124" spans="1:16" s="409" customFormat="1">
      <c r="A124" s="233"/>
      <c r="B124" s="622" t="s">
        <v>140</v>
      </c>
      <c r="C124" s="233"/>
      <c r="D124" s="341"/>
      <c r="E124" s="233"/>
      <c r="F124" s="333"/>
      <c r="G124" s="626"/>
      <c r="H124" s="412"/>
      <c r="I124" s="633"/>
      <c r="K124"/>
      <c r="L124"/>
      <c r="M124"/>
      <c r="N124"/>
      <c r="O124"/>
      <c r="P124"/>
    </row>
    <row r="125" spans="1:16">
      <c r="A125" s="327">
        <v>55</v>
      </c>
      <c r="B125" s="233"/>
      <c r="C125" s="233" t="s">
        <v>439</v>
      </c>
      <c r="D125" s="233"/>
      <c r="E125" s="590" t="str">
        <f>"(Note "&amp;B$350&amp;")"</f>
        <v>(Note N)</v>
      </c>
      <c r="F125" s="233" t="s">
        <v>440</v>
      </c>
      <c r="H125" s="650">
        <f>+'5 - Cost Support 1'!G160</f>
        <v>0</v>
      </c>
      <c r="N125"/>
      <c r="O125"/>
      <c r="P125"/>
    </row>
    <row r="126" spans="1:16">
      <c r="A126" s="320">
        <v>56</v>
      </c>
      <c r="B126" s="233"/>
      <c r="C126" s="651" t="s">
        <v>441</v>
      </c>
      <c r="D126" s="651"/>
      <c r="E126" s="652" t="str">
        <f>+E125</f>
        <v>(Note N)</v>
      </c>
      <c r="F126" s="653" t="str">
        <f>+F125</f>
        <v>From PJM</v>
      </c>
      <c r="H126" s="654">
        <f>+'5 - Cost Support 1'!G165</f>
        <v>0</v>
      </c>
      <c r="I126" s="574"/>
      <c r="N126"/>
      <c r="O126"/>
      <c r="P126"/>
    </row>
    <row r="127" spans="1:16">
      <c r="A127" s="320">
        <v>57</v>
      </c>
      <c r="B127" s="233"/>
      <c r="C127" s="233" t="s">
        <v>442</v>
      </c>
      <c r="D127" s="233"/>
      <c r="F127" s="333" t="str">
        <f>"(Line "&amp;A125&amp;" - "&amp;A126&amp;")"</f>
        <v>(Line 55 - 56)</v>
      </c>
      <c r="H127" s="233">
        <f>+H125-H126</f>
        <v>0</v>
      </c>
      <c r="N127"/>
      <c r="O127"/>
      <c r="P127"/>
    </row>
    <row r="128" spans="1:16">
      <c r="A128" s="320"/>
      <c r="B128" s="233"/>
      <c r="C128" s="233"/>
      <c r="D128" s="233"/>
      <c r="N128"/>
      <c r="O128"/>
      <c r="P128"/>
    </row>
    <row r="129" spans="1:16" ht="16.5" thickBot="1">
      <c r="A129" s="320">
        <v>58</v>
      </c>
      <c r="B129" s="382" t="s">
        <v>443</v>
      </c>
      <c r="C129" s="382"/>
      <c r="D129" s="382"/>
      <c r="E129" s="598"/>
      <c r="F129" s="615" t="str">
        <f>"(Line "&amp;A98&amp;" + "&amp;A100&amp;" + "&amp;A102&amp;" + "&amp;A105&amp;" + "&amp;A109&amp;" + "&amp;A117&amp;" + "&amp;A122&amp;" - "&amp;A127&amp;")"</f>
        <v>(Line 43 + 43a + 43b + 44 + 46 + 51 + 54 - 57)</v>
      </c>
      <c r="G129" s="655"/>
      <c r="H129" s="615">
        <f>SUM(H98,H100,H102,H105,H109,H117,H122)-H127</f>
        <v>-271415852.920636</v>
      </c>
      <c r="I129" s="717"/>
      <c r="J129" s="597"/>
      <c r="N129"/>
      <c r="O129"/>
      <c r="P129"/>
    </row>
    <row r="130" spans="1:16" ht="16.5" thickTop="1">
      <c r="A130" s="320"/>
      <c r="B130" s="233"/>
      <c r="C130" s="233"/>
      <c r="D130" s="233"/>
      <c r="N130"/>
      <c r="O130"/>
      <c r="P130"/>
    </row>
    <row r="131" spans="1:16" ht="16.5" thickBot="1">
      <c r="A131" s="335">
        <v>59</v>
      </c>
      <c r="B131" s="382" t="s">
        <v>444</v>
      </c>
      <c r="C131" s="382"/>
      <c r="D131" s="382"/>
      <c r="E131" s="598"/>
      <c r="F131" s="586" t="str">
        <f>"(Line "&amp;A81&amp;" + "&amp;A129&amp;")"</f>
        <v>(Line 39 + 58)</v>
      </c>
      <c r="G131" s="382"/>
      <c r="H131" s="615">
        <f>+H81+H129</f>
        <v>978735297.43782258</v>
      </c>
      <c r="I131" s="717"/>
      <c r="J131" s="597"/>
      <c r="N131"/>
      <c r="O131"/>
      <c r="P131"/>
    </row>
    <row r="132" spans="1:16" ht="16.5" thickTop="1">
      <c r="B132" s="233"/>
      <c r="C132" s="233"/>
      <c r="D132" s="233"/>
      <c r="N132"/>
      <c r="O132"/>
      <c r="P132"/>
    </row>
    <row r="133" spans="1:16" s="321" customFormat="1">
      <c r="A133" s="656" t="s">
        <v>445</v>
      </c>
      <c r="B133" s="657"/>
      <c r="C133" s="658"/>
      <c r="D133" s="386"/>
      <c r="E133" s="659"/>
      <c r="F133" s="324"/>
      <c r="G133" s="324"/>
      <c r="H133" s="387"/>
      <c r="I133" s="575"/>
      <c r="K133"/>
      <c r="L133"/>
      <c r="M133"/>
      <c r="N133"/>
      <c r="O133"/>
      <c r="P133"/>
    </row>
    <row r="134" spans="1:16" s="321" customFormat="1">
      <c r="A134" s="354"/>
      <c r="B134" s="354"/>
      <c r="C134" s="354"/>
      <c r="D134" s="354"/>
      <c r="E134" s="660"/>
      <c r="H134" s="575"/>
      <c r="I134" s="575"/>
      <c r="K134"/>
      <c r="L134"/>
      <c r="M134"/>
      <c r="N134"/>
      <c r="O134"/>
      <c r="P134"/>
    </row>
    <row r="135" spans="1:16">
      <c r="A135" s="335"/>
      <c r="B135" s="358" t="s">
        <v>190</v>
      </c>
      <c r="D135" s="342"/>
      <c r="E135" s="389"/>
      <c r="G135" s="342"/>
      <c r="H135" s="342"/>
      <c r="I135" s="343"/>
      <c r="N135"/>
      <c r="O135"/>
      <c r="P135"/>
    </row>
    <row r="136" spans="1:16">
      <c r="A136" s="335">
        <v>60</v>
      </c>
      <c r="B136" s="335"/>
      <c r="C136" s="358" t="s">
        <v>190</v>
      </c>
      <c r="D136" s="354"/>
      <c r="E136" s="577"/>
      <c r="F136" s="343" t="s">
        <v>1180</v>
      </c>
      <c r="G136" s="327"/>
      <c r="H136" s="595">
        <f>+'11A - O&amp;M'!G38</f>
        <v>28161183.300000004</v>
      </c>
      <c r="I136" s="343"/>
      <c r="N136"/>
      <c r="O136"/>
      <c r="P136"/>
    </row>
    <row r="137" spans="1:16">
      <c r="A137" s="335">
        <v>61</v>
      </c>
      <c r="B137" s="335"/>
      <c r="C137" s="358" t="s">
        <v>446</v>
      </c>
      <c r="D137" s="354"/>
      <c r="E137" s="577"/>
      <c r="F137" s="343" t="s">
        <v>427</v>
      </c>
      <c r="G137" s="327"/>
      <c r="H137" s="343">
        <f>'5 - Cost Support 1'!G173</f>
        <v>0</v>
      </c>
      <c r="I137" s="343"/>
      <c r="N137"/>
      <c r="O137"/>
      <c r="P137"/>
    </row>
    <row r="138" spans="1:16">
      <c r="A138" s="335">
        <v>62</v>
      </c>
      <c r="B138" s="335"/>
      <c r="C138" s="358" t="s">
        <v>447</v>
      </c>
      <c r="D138" s="354"/>
      <c r="E138" s="577"/>
      <c r="F138" s="343" t="s">
        <v>427</v>
      </c>
      <c r="G138" s="327"/>
      <c r="H138" s="343">
        <f>'5 - Cost Support 1'!J174</f>
        <v>0</v>
      </c>
      <c r="I138" s="343"/>
      <c r="N138"/>
      <c r="O138"/>
      <c r="P138"/>
    </row>
    <row r="139" spans="1:16">
      <c r="A139" s="327">
        <v>63</v>
      </c>
      <c r="B139" s="335"/>
      <c r="C139" s="358" t="s">
        <v>448</v>
      </c>
      <c r="D139" s="354"/>
      <c r="E139" s="577"/>
      <c r="F139" s="343" t="s">
        <v>449</v>
      </c>
      <c r="G139" s="354"/>
      <c r="H139" s="595">
        <v>0</v>
      </c>
      <c r="I139" s="343"/>
      <c r="N139"/>
      <c r="O139"/>
      <c r="P139"/>
    </row>
    <row r="140" spans="1:16">
      <c r="A140" s="327" t="s">
        <v>879</v>
      </c>
      <c r="B140" s="327"/>
      <c r="C140" s="358" t="s">
        <v>880</v>
      </c>
      <c r="D140" s="354"/>
      <c r="E140" s="577"/>
      <c r="F140" s="343" t="s">
        <v>1036</v>
      </c>
      <c r="G140" s="354"/>
      <c r="H140" s="595">
        <f>+'10 - Merger Costs'!G7</f>
        <v>0</v>
      </c>
      <c r="I140" s="343"/>
      <c r="N140"/>
      <c r="O140"/>
      <c r="P140"/>
    </row>
    <row r="141" spans="1:16">
      <c r="A141" s="327">
        <v>64</v>
      </c>
      <c r="B141" s="327"/>
      <c r="C141" s="358" t="s">
        <v>450</v>
      </c>
      <c r="D141" s="354"/>
      <c r="E141" s="590" t="str">
        <f>"(Note "&amp;B$353&amp;")"</f>
        <v>(Note O)</v>
      </c>
      <c r="F141" s="343" t="s">
        <v>451</v>
      </c>
      <c r="G141" s="354"/>
      <c r="H141" s="595">
        <v>0</v>
      </c>
      <c r="I141" s="343"/>
      <c r="J141" s="661"/>
      <c r="N141"/>
      <c r="O141"/>
      <c r="P141"/>
    </row>
    <row r="142" spans="1:16">
      <c r="A142" s="327">
        <v>65</v>
      </c>
      <c r="B142" s="335"/>
      <c r="C142" s="358" t="s">
        <v>452</v>
      </c>
      <c r="D142" s="343"/>
      <c r="E142" s="616" t="str">
        <f>"(Note "&amp;B$333&amp;")"</f>
        <v>(Note A)</v>
      </c>
      <c r="F142" s="349" t="s">
        <v>453</v>
      </c>
      <c r="G142" s="354"/>
      <c r="H142" s="608">
        <v>0</v>
      </c>
      <c r="I142" s="334"/>
      <c r="N142"/>
      <c r="O142"/>
      <c r="P142"/>
    </row>
    <row r="143" spans="1:16">
      <c r="A143" s="327">
        <v>66</v>
      </c>
      <c r="B143" s="354"/>
      <c r="C143" s="356" t="s">
        <v>190</v>
      </c>
      <c r="D143" s="355"/>
      <c r="E143" s="592"/>
      <c r="F143" s="334" t="str">
        <f>"(Lines "&amp;A136&amp;" - "&amp;A137&amp;" + "&amp;A138&amp;" - "&amp;A139&amp;" - "&amp;A140&amp;" + "&amp;A141&amp;" + "&amp;A142&amp;")"</f>
        <v>(Lines 60 - 61 + 62 - 63 - 63a + 64 + 65)</v>
      </c>
      <c r="G143" s="591"/>
      <c r="H143" s="357">
        <f>+H136-H137+H138-H139-H140+H141+H142</f>
        <v>28161183.300000004</v>
      </c>
      <c r="I143" s="334"/>
      <c r="N143"/>
      <c r="O143"/>
      <c r="P143"/>
    </row>
    <row r="144" spans="1:16">
      <c r="A144" s="327"/>
      <c r="B144" s="327"/>
      <c r="C144" s="358"/>
      <c r="D144" s="354"/>
      <c r="E144" s="363"/>
      <c r="F144" s="354"/>
      <c r="G144" s="354"/>
      <c r="H144" s="589"/>
      <c r="I144" s="1170"/>
      <c r="N144"/>
      <c r="O144"/>
      <c r="P144"/>
    </row>
    <row r="145" spans="1:16">
      <c r="A145" s="327"/>
      <c r="B145" s="358" t="s">
        <v>74</v>
      </c>
      <c r="C145" s="354"/>
      <c r="D145" s="354"/>
      <c r="E145" s="363"/>
      <c r="F145" s="354"/>
      <c r="G145" s="354"/>
      <c r="H145" s="589"/>
      <c r="I145" s="1170"/>
      <c r="N145"/>
      <c r="O145"/>
      <c r="P145"/>
    </row>
    <row r="146" spans="1:16">
      <c r="A146" s="327">
        <v>67</v>
      </c>
      <c r="B146" s="327"/>
      <c r="C146" s="358" t="s">
        <v>454</v>
      </c>
      <c r="D146" s="354"/>
      <c r="E146" s="590" t="str">
        <f>"(Note "&amp;B$333&amp;")"</f>
        <v>(Note A)</v>
      </c>
      <c r="F146" s="342" t="s">
        <v>395</v>
      </c>
      <c r="G146" s="354"/>
      <c r="H146" s="595">
        <v>0</v>
      </c>
      <c r="I146" s="343"/>
      <c r="N146"/>
      <c r="O146"/>
      <c r="P146"/>
    </row>
    <row r="147" spans="1:16">
      <c r="A147" s="327">
        <v>68</v>
      </c>
      <c r="B147" s="327"/>
      <c r="C147" s="358" t="s">
        <v>191</v>
      </c>
      <c r="D147" s="354"/>
      <c r="E147" s="577"/>
      <c r="F147" s="343" t="s">
        <v>1181</v>
      </c>
      <c r="G147" s="354"/>
      <c r="H147" s="595">
        <f>+'11B - A&amp;G'!E24</f>
        <v>175114514.641</v>
      </c>
      <c r="I147" s="343"/>
      <c r="N147"/>
      <c r="O147"/>
      <c r="P147"/>
    </row>
    <row r="148" spans="1:16">
      <c r="A148" s="327" t="s">
        <v>455</v>
      </c>
      <c r="B148" s="327"/>
      <c r="C148" s="358" t="s">
        <v>456</v>
      </c>
      <c r="D148" s="354"/>
      <c r="E148" s="590" t="s">
        <v>457</v>
      </c>
      <c r="F148" s="343" t="s">
        <v>427</v>
      </c>
      <c r="G148" s="662"/>
      <c r="H148" s="595">
        <f>+'5 - Cost Support 1'!I268</f>
        <v>642583.35710248933</v>
      </c>
      <c r="I148" s="343"/>
      <c r="N148"/>
      <c r="O148"/>
      <c r="P148"/>
    </row>
    <row r="149" spans="1:16">
      <c r="A149" s="327" t="s">
        <v>881</v>
      </c>
      <c r="B149" s="327"/>
      <c r="C149" s="358" t="s">
        <v>882</v>
      </c>
      <c r="D149" s="354"/>
      <c r="E149" s="577"/>
      <c r="F149" s="343" t="s">
        <v>1037</v>
      </c>
      <c r="G149" s="354"/>
      <c r="H149" s="595">
        <f>+'10 - Merger Costs'!C8</f>
        <v>-40274.989999999991</v>
      </c>
      <c r="I149" s="343"/>
      <c r="N149"/>
      <c r="O149"/>
      <c r="P149"/>
    </row>
    <row r="150" spans="1:16">
      <c r="A150" s="327" t="s">
        <v>1417</v>
      </c>
      <c r="B150" s="327"/>
      <c r="C150" s="358" t="s">
        <v>1418</v>
      </c>
      <c r="D150" s="354"/>
      <c r="E150" s="577"/>
      <c r="F150" s="343" t="s">
        <v>427</v>
      </c>
      <c r="G150" s="354"/>
      <c r="H150" s="595">
        <f>+'5 - Cost Support 1'!J250+'5 - Cost Support 1'!K250+'5 - Cost Support 1'!I250</f>
        <v>1829513.5999200002</v>
      </c>
      <c r="I150" s="343"/>
      <c r="N150"/>
      <c r="O150"/>
      <c r="P150"/>
    </row>
    <row r="151" spans="1:16">
      <c r="A151" s="327">
        <v>69</v>
      </c>
      <c r="B151" s="327"/>
      <c r="C151" s="358" t="s">
        <v>458</v>
      </c>
      <c r="D151" s="343"/>
      <c r="E151" s="577"/>
      <c r="F151" s="358" t="s">
        <v>459</v>
      </c>
      <c r="G151" s="331"/>
      <c r="H151" s="595">
        <f>+'11B - A&amp;G'!E14</f>
        <v>1609408.65</v>
      </c>
      <c r="I151" s="343"/>
      <c r="N151"/>
      <c r="O151"/>
      <c r="P151"/>
    </row>
    <row r="152" spans="1:16">
      <c r="A152" s="327">
        <v>70</v>
      </c>
      <c r="B152" s="327"/>
      <c r="C152" s="358" t="s">
        <v>460</v>
      </c>
      <c r="D152" s="343"/>
      <c r="E152" s="590" t="str">
        <f>"(Note "&amp;B$341&amp;")"</f>
        <v>(Note E)</v>
      </c>
      <c r="F152" s="358" t="s">
        <v>83</v>
      </c>
      <c r="G152" s="331"/>
      <c r="H152" s="595">
        <f>+'11B - A&amp;G'!E18</f>
        <v>7458082.8200000003</v>
      </c>
      <c r="I152" s="343"/>
      <c r="N152"/>
      <c r="O152"/>
      <c r="P152"/>
    </row>
    <row r="153" spans="1:16">
      <c r="A153" s="327">
        <v>71</v>
      </c>
      <c r="B153" s="327"/>
      <c r="C153" s="358" t="s">
        <v>461</v>
      </c>
      <c r="D153" s="343"/>
      <c r="E153" s="577"/>
      <c r="F153" s="358" t="s">
        <v>462</v>
      </c>
      <c r="G153" s="331"/>
      <c r="H153" s="595">
        <f>+'11B - A&amp;G'!E20</f>
        <v>1386252.92</v>
      </c>
      <c r="I153" s="343"/>
      <c r="N153"/>
      <c r="O153"/>
      <c r="P153"/>
    </row>
    <row r="154" spans="1:16">
      <c r="A154" s="327">
        <v>72</v>
      </c>
      <c r="B154" s="327"/>
      <c r="C154" s="358" t="s">
        <v>463</v>
      </c>
      <c r="D154" s="343"/>
      <c r="E154" s="577"/>
      <c r="F154" s="358" t="s">
        <v>464</v>
      </c>
      <c r="G154" s="331"/>
      <c r="H154" s="595">
        <v>0</v>
      </c>
      <c r="I154" s="343"/>
      <c r="N154"/>
      <c r="O154"/>
      <c r="P154"/>
    </row>
    <row r="155" spans="1:16">
      <c r="A155" s="327">
        <v>73</v>
      </c>
      <c r="B155" s="327"/>
      <c r="C155" s="358" t="s">
        <v>465</v>
      </c>
      <c r="D155" s="233"/>
      <c r="E155" s="590" t="str">
        <f>"(Note "&amp;B$340&amp;")"</f>
        <v>(Note D)</v>
      </c>
      <c r="F155" s="349" t="s">
        <v>466</v>
      </c>
      <c r="G155" s="354"/>
      <c r="H155" s="595">
        <f>+'11B - A&amp;G'!I21</f>
        <v>491004</v>
      </c>
      <c r="I155" s="343"/>
      <c r="N155"/>
      <c r="O155"/>
      <c r="P155"/>
    </row>
    <row r="156" spans="1:16">
      <c r="A156" s="327">
        <v>74</v>
      </c>
      <c r="B156" s="327"/>
      <c r="C156" s="356" t="s">
        <v>467</v>
      </c>
      <c r="D156" s="355"/>
      <c r="E156" s="663"/>
      <c r="F156" s="333" t="str">
        <f>"(Lines "&amp;A146&amp;" + "&amp;A147&amp;") -  Sum ("&amp;A149&amp;" to "&amp;A155&amp;")"</f>
        <v>(Lines 67 + 68) -  Sum (68b to 73)</v>
      </c>
      <c r="G156" s="359"/>
      <c r="H156" s="362">
        <f>H146+H147-SUM(H149:H155)</f>
        <v>162380527.64107999</v>
      </c>
      <c r="I156" s="334"/>
      <c r="N156"/>
      <c r="O156"/>
      <c r="P156"/>
    </row>
    <row r="157" spans="1:16">
      <c r="A157" s="327">
        <v>75</v>
      </c>
      <c r="B157" s="327"/>
      <c r="C157" s="328" t="s">
        <v>408</v>
      </c>
      <c r="D157" s="353"/>
      <c r="E157" s="1099"/>
      <c r="F157" s="664" t="s">
        <v>948</v>
      </c>
      <c r="G157" s="635"/>
      <c r="H157" s="641">
        <f>+H16</f>
        <v>0.10939366197352368</v>
      </c>
      <c r="I157" s="1173"/>
      <c r="N157"/>
      <c r="O157"/>
      <c r="P157"/>
    </row>
    <row r="158" spans="1:16">
      <c r="A158" s="327">
        <v>76</v>
      </c>
      <c r="B158" s="327"/>
      <c r="C158" s="356" t="s">
        <v>468</v>
      </c>
      <c r="D158" s="355"/>
      <c r="E158" s="582"/>
      <c r="F158" s="333" t="s">
        <v>956</v>
      </c>
      <c r="G158" s="359"/>
      <c r="H158" s="362">
        <f>+H157*H156</f>
        <v>17763400.551850725</v>
      </c>
      <c r="I158" s="334"/>
      <c r="N158"/>
      <c r="O158"/>
      <c r="P158"/>
    </row>
    <row r="159" spans="1:16">
      <c r="A159" s="327"/>
      <c r="B159" s="327"/>
      <c r="C159" s="364"/>
      <c r="D159" s="407"/>
      <c r="E159" s="618"/>
      <c r="F159" s="330"/>
      <c r="G159" s="330"/>
      <c r="H159" s="333"/>
      <c r="I159" s="334"/>
      <c r="N159"/>
      <c r="O159"/>
      <c r="P159"/>
    </row>
    <row r="160" spans="1:16">
      <c r="A160" s="327"/>
      <c r="B160" s="358" t="s">
        <v>80</v>
      </c>
      <c r="C160" s="321"/>
      <c r="D160" s="407"/>
      <c r="E160" s="618"/>
      <c r="F160" s="330"/>
      <c r="G160" s="330"/>
      <c r="H160" s="333"/>
      <c r="I160" s="334"/>
      <c r="N160"/>
      <c r="O160"/>
      <c r="P160"/>
    </row>
    <row r="161" spans="1:16">
      <c r="A161" s="327">
        <v>77</v>
      </c>
      <c r="B161" s="632"/>
      <c r="C161" s="328" t="s">
        <v>81</v>
      </c>
      <c r="D161" s="665"/>
      <c r="E161" s="590" t="str">
        <f>"(Note "&amp;B$343&amp;")"</f>
        <v>(Note G)</v>
      </c>
      <c r="F161" s="328" t="s">
        <v>83</v>
      </c>
      <c r="G161" s="321"/>
      <c r="H161" s="643">
        <f>+'11B - A&amp;G'!J18</f>
        <v>258933.50000000003</v>
      </c>
      <c r="I161" s="417"/>
      <c r="N161"/>
      <c r="O161"/>
      <c r="P161"/>
    </row>
    <row r="162" spans="1:16">
      <c r="A162" s="335">
        <v>78</v>
      </c>
      <c r="B162" s="632"/>
      <c r="C162" s="637" t="s">
        <v>469</v>
      </c>
      <c r="D162" s="666"/>
      <c r="E162" s="616" t="str">
        <f>"(Note "&amp;B$347&amp;")"</f>
        <v>(Note K)</v>
      </c>
      <c r="F162" s="637" t="s">
        <v>462</v>
      </c>
      <c r="G162" s="321"/>
      <c r="H162" s="667">
        <f>'5 - Cost Support 1'!H58</f>
        <v>0</v>
      </c>
      <c r="I162" s="627"/>
      <c r="N162"/>
      <c r="O162"/>
      <c r="P162"/>
    </row>
    <row r="163" spans="1:16">
      <c r="A163" s="335">
        <v>79</v>
      </c>
      <c r="B163" s="632"/>
      <c r="C163" s="328" t="s">
        <v>470</v>
      </c>
      <c r="D163" s="354"/>
      <c r="E163" s="642"/>
      <c r="F163" s="333" t="s">
        <v>958</v>
      </c>
      <c r="G163" s="321"/>
      <c r="H163" s="417">
        <f>+H162+H161</f>
        <v>258933.50000000003</v>
      </c>
      <c r="I163" s="417"/>
      <c r="N163"/>
      <c r="O163"/>
      <c r="P163"/>
    </row>
    <row r="164" spans="1:16">
      <c r="A164" s="327"/>
      <c r="B164" s="632"/>
      <c r="C164" s="328"/>
      <c r="D164" s="354"/>
      <c r="E164" s="642"/>
      <c r="F164" s="328"/>
      <c r="G164" s="321"/>
      <c r="H164" s="638"/>
      <c r="I164" s="638"/>
      <c r="N164"/>
      <c r="O164"/>
      <c r="P164"/>
    </row>
    <row r="165" spans="1:16">
      <c r="A165" s="335">
        <v>80</v>
      </c>
      <c r="B165" s="632"/>
      <c r="C165" s="328" t="s">
        <v>471</v>
      </c>
      <c r="D165" s="354"/>
      <c r="E165" s="1099"/>
      <c r="F165" s="328" t="s">
        <v>459</v>
      </c>
      <c r="G165" s="321"/>
      <c r="H165" s="643">
        <f>H151</f>
        <v>1609408.65</v>
      </c>
      <c r="I165" s="417"/>
      <c r="N165"/>
      <c r="O165"/>
      <c r="P165"/>
    </row>
    <row r="166" spans="1:16" ht="16.5" thickBot="1">
      <c r="A166" s="335">
        <v>81</v>
      </c>
      <c r="B166" s="632"/>
      <c r="C166" s="328" t="s">
        <v>469</v>
      </c>
      <c r="D166" s="354"/>
      <c r="E166" s="590" t="str">
        <f>"(Note "&amp;B$342&amp;")"</f>
        <v>(Note F)</v>
      </c>
      <c r="F166" s="637" t="s">
        <v>462</v>
      </c>
      <c r="G166" s="321"/>
      <c r="H166" s="643">
        <f>+'5 - Cost Support 1'!H71</f>
        <v>0</v>
      </c>
      <c r="I166" s="417"/>
      <c r="N166"/>
      <c r="O166"/>
      <c r="P166"/>
    </row>
    <row r="167" spans="1:16">
      <c r="A167" s="327">
        <v>82</v>
      </c>
      <c r="B167" s="632"/>
      <c r="C167" s="624" t="s">
        <v>59</v>
      </c>
      <c r="D167" s="355"/>
      <c r="E167" s="596"/>
      <c r="F167" s="333" t="s">
        <v>959</v>
      </c>
      <c r="G167" s="591"/>
      <c r="H167" s="668">
        <f>+H165+H166</f>
        <v>1609408.65</v>
      </c>
      <c r="I167" s="627"/>
      <c r="N167"/>
      <c r="O167"/>
      <c r="P167"/>
    </row>
    <row r="168" spans="1:16">
      <c r="A168" s="335">
        <v>83</v>
      </c>
      <c r="B168" s="327"/>
      <c r="C168" s="623" t="s">
        <v>236</v>
      </c>
      <c r="D168" s="353"/>
      <c r="E168" s="335"/>
      <c r="F168" s="340" t="s">
        <v>950</v>
      </c>
      <c r="G168" s="635"/>
      <c r="H168" s="669">
        <f>+H40</f>
        <v>0.19223598884570484</v>
      </c>
      <c r="I168" s="397"/>
      <c r="N168"/>
      <c r="O168"/>
      <c r="P168"/>
    </row>
    <row r="169" spans="1:16">
      <c r="A169" s="327">
        <v>84</v>
      </c>
      <c r="B169" s="327"/>
      <c r="C169" s="356" t="s">
        <v>472</v>
      </c>
      <c r="D169" s="355"/>
      <c r="E169" s="582"/>
      <c r="F169" s="333" t="s">
        <v>960</v>
      </c>
      <c r="G169" s="359"/>
      <c r="H169" s="625">
        <f>+H168*H167</f>
        <v>309386.26328958088</v>
      </c>
      <c r="I169" s="627"/>
      <c r="N169"/>
      <c r="O169"/>
      <c r="P169"/>
    </row>
    <row r="170" spans="1:16">
      <c r="A170" s="335"/>
      <c r="B170" s="335"/>
      <c r="C170" s="358"/>
      <c r="D170" s="354"/>
      <c r="E170" s="389"/>
      <c r="F170" s="331"/>
      <c r="G170" s="331"/>
      <c r="H170" s="333"/>
      <c r="I170" s="334"/>
      <c r="N170"/>
      <c r="O170"/>
      <c r="P170"/>
    </row>
    <row r="171" spans="1:16" ht="16.5" thickBot="1">
      <c r="A171" s="335">
        <v>85</v>
      </c>
      <c r="B171" s="335"/>
      <c r="C171" s="583" t="s">
        <v>473</v>
      </c>
      <c r="D171" s="584"/>
      <c r="E171" s="670"/>
      <c r="F171" s="586" t="s">
        <v>961</v>
      </c>
      <c r="G171" s="587"/>
      <c r="H171" s="586">
        <f>+H143+H158+H163+H169</f>
        <v>46492903.615140311</v>
      </c>
      <c r="I171" s="334"/>
      <c r="N171"/>
      <c r="O171"/>
      <c r="P171"/>
    </row>
    <row r="172" spans="1:16" ht="16.5" thickTop="1">
      <c r="A172" s="335"/>
      <c r="B172" s="335"/>
      <c r="C172" s="364"/>
      <c r="D172" s="407"/>
      <c r="E172" s="618"/>
      <c r="F172" s="333"/>
      <c r="G172" s="330"/>
      <c r="H172" s="333"/>
      <c r="I172" s="334"/>
      <c r="N172"/>
      <c r="O172"/>
      <c r="P172"/>
    </row>
    <row r="173" spans="1:16">
      <c r="A173" s="336"/>
      <c r="B173" s="335"/>
      <c r="C173" s="358"/>
      <c r="D173" s="354"/>
      <c r="E173" s="389"/>
      <c r="F173" s="331"/>
      <c r="G173" s="331"/>
      <c r="H173" s="589"/>
      <c r="I173" s="1170"/>
      <c r="N173"/>
      <c r="O173"/>
      <c r="P173"/>
    </row>
    <row r="174" spans="1:16">
      <c r="A174" s="656" t="s">
        <v>474</v>
      </c>
      <c r="B174" s="657"/>
      <c r="C174" s="658"/>
      <c r="D174" s="386"/>
      <c r="E174" s="659"/>
      <c r="F174" s="324"/>
      <c r="G174" s="324"/>
      <c r="H174" s="387"/>
      <c r="I174" s="575"/>
      <c r="N174"/>
      <c r="O174"/>
      <c r="P174"/>
    </row>
    <row r="175" spans="1:16">
      <c r="A175" s="358"/>
      <c r="B175" s="335"/>
      <c r="C175" s="358"/>
      <c r="D175" s="354"/>
      <c r="E175" s="389"/>
      <c r="F175" s="331"/>
      <c r="G175" s="331"/>
      <c r="H175" s="589"/>
      <c r="I175" s="1170"/>
      <c r="N175"/>
      <c r="O175"/>
      <c r="P175"/>
    </row>
    <row r="176" spans="1:16">
      <c r="A176" s="320"/>
      <c r="B176" s="336" t="s">
        <v>75</v>
      </c>
      <c r="C176" s="233"/>
      <c r="F176" s="370"/>
      <c r="G176" s="370"/>
      <c r="H176" s="671"/>
      <c r="I176" s="1175"/>
      <c r="N176"/>
      <c r="O176"/>
      <c r="P176"/>
    </row>
    <row r="177" spans="1:16">
      <c r="A177" s="335">
        <v>86</v>
      </c>
      <c r="B177" s="610"/>
      <c r="C177" s="328" t="s">
        <v>475</v>
      </c>
      <c r="E177" s="335"/>
      <c r="F177" s="328" t="s">
        <v>1020</v>
      </c>
      <c r="H177" s="643">
        <f>+'5 - Cost Support 1'!I258</f>
        <v>40156668</v>
      </c>
      <c r="I177" s="417"/>
      <c r="N177"/>
      <c r="O177"/>
      <c r="P177"/>
    </row>
    <row r="178" spans="1:16">
      <c r="A178" s="335"/>
      <c r="B178" s="610"/>
      <c r="C178" s="328"/>
      <c r="E178" s="335"/>
      <c r="F178" s="336"/>
      <c r="H178" s="647"/>
      <c r="I178" s="647"/>
      <c r="N178"/>
      <c r="O178"/>
      <c r="P178"/>
    </row>
    <row r="179" spans="1:16">
      <c r="A179" s="672" t="s">
        <v>476</v>
      </c>
      <c r="B179" s="672"/>
      <c r="C179" s="629" t="s">
        <v>477</v>
      </c>
      <c r="D179" s="629"/>
      <c r="E179" s="672"/>
      <c r="F179" s="1111" t="s">
        <v>427</v>
      </c>
      <c r="H179" s="643">
        <f>+'5 - Cost Support 1'!E214</f>
        <v>123294.47199999998</v>
      </c>
      <c r="I179" s="417"/>
      <c r="N179"/>
      <c r="O179"/>
      <c r="P179"/>
    </row>
    <row r="180" spans="1:16">
      <c r="A180" s="335"/>
      <c r="B180" s="610"/>
      <c r="C180" s="336"/>
      <c r="E180" s="335"/>
      <c r="F180" s="336"/>
      <c r="G180" s="635"/>
      <c r="H180" s="641"/>
      <c r="I180" s="1173"/>
      <c r="N180"/>
      <c r="O180"/>
      <c r="P180"/>
    </row>
    <row r="181" spans="1:16">
      <c r="A181" s="335">
        <v>87</v>
      </c>
      <c r="B181" s="610"/>
      <c r="C181" s="622" t="s">
        <v>192</v>
      </c>
      <c r="D181" s="330"/>
      <c r="E181" s="399"/>
      <c r="F181" s="622" t="s">
        <v>1021</v>
      </c>
      <c r="H181" s="643">
        <f>+'5 - Cost Support 1'!G259</f>
        <v>10902672</v>
      </c>
      <c r="I181" s="417"/>
      <c r="N181"/>
      <c r="O181"/>
      <c r="P181"/>
    </row>
    <row r="182" spans="1:16">
      <c r="A182" s="335" t="s">
        <v>934</v>
      </c>
      <c r="B182" s="632"/>
      <c r="C182" s="358" t="s">
        <v>882</v>
      </c>
      <c r="D182" s="354"/>
      <c r="E182" s="577"/>
      <c r="F182" s="622" t="s">
        <v>1019</v>
      </c>
      <c r="H182" s="628">
        <f>+'10 - Merger Costs'!C14</f>
        <v>34310.354900799961</v>
      </c>
      <c r="I182" s="627"/>
      <c r="N182"/>
      <c r="O182"/>
      <c r="P182"/>
    </row>
    <row r="183" spans="1:16">
      <c r="A183" s="335">
        <v>88</v>
      </c>
      <c r="B183" s="610"/>
      <c r="C183" s="622" t="s">
        <v>478</v>
      </c>
      <c r="D183" s="330"/>
      <c r="E183" s="590" t="str">
        <f>"(Note "&amp;B$333&amp;")"</f>
        <v>(Note A)</v>
      </c>
      <c r="F183" s="622" t="s">
        <v>1022</v>
      </c>
      <c r="H183" s="628">
        <f>+'5 - Cost Support 1'!G260</f>
        <v>16715195</v>
      </c>
      <c r="I183" s="627"/>
      <c r="N183"/>
      <c r="O183"/>
      <c r="P183"/>
    </row>
    <row r="184" spans="1:16">
      <c r="A184" s="335" t="s">
        <v>935</v>
      </c>
      <c r="B184" s="632"/>
      <c r="C184" s="718" t="s">
        <v>882</v>
      </c>
      <c r="D184" s="664"/>
      <c r="E184" s="616"/>
      <c r="F184" s="637" t="s">
        <v>1141</v>
      </c>
      <c r="G184" s="651"/>
      <c r="H184" s="667">
        <f>+'10 - Merger Costs'!C15</f>
        <v>370777.70999999973</v>
      </c>
      <c r="I184" s="627"/>
      <c r="N184"/>
      <c r="O184"/>
      <c r="P184"/>
    </row>
    <row r="185" spans="1:16">
      <c r="A185" s="335">
        <v>89</v>
      </c>
      <c r="B185" s="610"/>
      <c r="C185" s="365" t="s">
        <v>59</v>
      </c>
      <c r="D185" s="330"/>
      <c r="E185" s="399"/>
      <c r="F185" s="334" t="str">
        <f>"(Line "&amp;87&amp;" - "&amp;A182&amp;" + "&amp;88&amp;" - "&amp;A184&amp;")"</f>
        <v>(Line 87 - 87a + 88 - 88a)</v>
      </c>
      <c r="H185" s="625">
        <f>H181-H182+H183-H184</f>
        <v>27212778.935099199</v>
      </c>
      <c r="I185" s="627"/>
      <c r="N185"/>
      <c r="O185"/>
      <c r="P185"/>
    </row>
    <row r="186" spans="1:16">
      <c r="A186" s="335">
        <v>90</v>
      </c>
      <c r="B186" s="610"/>
      <c r="C186" s="1417" t="s">
        <v>408</v>
      </c>
      <c r="D186" s="400"/>
      <c r="E186" s="607"/>
      <c r="F186" s="664" t="str">
        <f>"(Line "&amp;A$16&amp;")"</f>
        <v>(Line 5)</v>
      </c>
      <c r="G186" s="645"/>
      <c r="H186" s="673">
        <f>+H16</f>
        <v>0.10939366197352368</v>
      </c>
      <c r="I186" s="1176"/>
      <c r="N186"/>
      <c r="O186"/>
      <c r="P186"/>
    </row>
    <row r="187" spans="1:16">
      <c r="A187" s="335">
        <v>91</v>
      </c>
      <c r="B187" s="610"/>
      <c r="C187" s="336" t="s">
        <v>479</v>
      </c>
      <c r="E187" s="335"/>
      <c r="F187" s="333" t="str">
        <f>"(Line "&amp;A185&amp;" * "&amp;A186&amp;")"</f>
        <v>(Line 89 * 90)</v>
      </c>
      <c r="G187" s="635"/>
      <c r="H187" s="625">
        <f>+H185*H186</f>
        <v>2976905.5401864676</v>
      </c>
      <c r="I187" s="627"/>
      <c r="N187"/>
      <c r="O187"/>
      <c r="P187"/>
    </row>
    <row r="188" spans="1:16">
      <c r="A188" s="327"/>
      <c r="B188" s="632"/>
      <c r="C188" s="328"/>
      <c r="D188" s="354"/>
      <c r="E188" s="327"/>
      <c r="F188" s="328"/>
      <c r="G188" s="635"/>
      <c r="H188" s="674"/>
      <c r="I188" s="647"/>
      <c r="N188"/>
      <c r="O188"/>
      <c r="P188"/>
    </row>
    <row r="189" spans="1:16">
      <c r="A189" s="335">
        <v>92</v>
      </c>
      <c r="B189" s="632"/>
      <c r="C189" s="328" t="s">
        <v>480</v>
      </c>
      <c r="D189" s="354"/>
      <c r="E189" s="590" t="str">
        <f>"(Note "&amp;B$333&amp;")"</f>
        <v>(Note A)</v>
      </c>
      <c r="F189" s="328" t="s">
        <v>1023</v>
      </c>
      <c r="H189" s="675">
        <f>+'5 - Cost Support 1'!I261</f>
        <v>0</v>
      </c>
      <c r="I189" s="647"/>
      <c r="N189"/>
      <c r="O189"/>
      <c r="P189"/>
    </row>
    <row r="190" spans="1:16">
      <c r="A190" s="327">
        <v>93</v>
      </c>
      <c r="B190" s="632"/>
      <c r="C190" s="637" t="s">
        <v>481</v>
      </c>
      <c r="D190" s="664"/>
      <c r="E190" s="616" t="str">
        <f>"(Note "&amp;B$333&amp;")"</f>
        <v>(Note A)</v>
      </c>
      <c r="F190" s="637" t="s">
        <v>1024</v>
      </c>
      <c r="G190" s="651"/>
      <c r="H190" s="676">
        <f>+'5 - Cost Support 1'!I262</f>
        <v>0</v>
      </c>
      <c r="I190" s="633"/>
      <c r="N190"/>
      <c r="O190"/>
      <c r="P190"/>
    </row>
    <row r="191" spans="1:16">
      <c r="A191" s="327">
        <v>94</v>
      </c>
      <c r="B191" s="632"/>
      <c r="C191" s="328" t="s">
        <v>59</v>
      </c>
      <c r="D191" s="354"/>
      <c r="E191" s="327"/>
      <c r="F191" s="333" t="str">
        <f>"(Line "&amp;A189&amp;" + "&amp;A190&amp;")"</f>
        <v>(Line 92 + 93)</v>
      </c>
      <c r="H191" s="647">
        <f>+H190+H189</f>
        <v>0</v>
      </c>
      <c r="I191" s="647"/>
      <c r="N191"/>
      <c r="O191"/>
      <c r="P191"/>
    </row>
    <row r="192" spans="1:16">
      <c r="A192" s="335">
        <v>95</v>
      </c>
      <c r="B192" s="632"/>
      <c r="C192" s="1417" t="s">
        <v>408</v>
      </c>
      <c r="D192" s="400"/>
      <c r="E192" s="607"/>
      <c r="F192" s="664" t="str">
        <f>"(Line "&amp;A$16&amp;")"</f>
        <v>(Line 5)</v>
      </c>
      <c r="G192" s="645"/>
      <c r="H192" s="673">
        <f>+H16</f>
        <v>0.10939366197352368</v>
      </c>
      <c r="I192" s="1176"/>
      <c r="N192"/>
      <c r="O192"/>
      <c r="P192"/>
    </row>
    <row r="193" spans="1:16">
      <c r="A193" s="335">
        <v>96</v>
      </c>
      <c r="B193" s="632"/>
      <c r="C193" s="336" t="s">
        <v>482</v>
      </c>
      <c r="D193" s="354"/>
      <c r="E193" s="327"/>
      <c r="F193" s="333" t="str">
        <f>"(Line "&amp;A191&amp;" * "&amp;A192&amp;")"</f>
        <v>(Line 94 * 95)</v>
      </c>
      <c r="G193" s="635"/>
      <c r="H193" s="412">
        <f>+H192*H191</f>
        <v>0</v>
      </c>
      <c r="I193" s="633"/>
      <c r="N193"/>
      <c r="O193"/>
      <c r="P193"/>
    </row>
    <row r="194" spans="1:16">
      <c r="A194" s="327"/>
      <c r="B194" s="632"/>
      <c r="C194" s="233"/>
      <c r="D194" s="354"/>
      <c r="E194" s="327"/>
      <c r="F194" s="328"/>
      <c r="G194" s="635"/>
      <c r="H194" s="412"/>
      <c r="I194" s="633"/>
      <c r="N194"/>
      <c r="O194"/>
      <c r="P194"/>
    </row>
    <row r="195" spans="1:16">
      <c r="A195" s="677"/>
      <c r="B195" s="678"/>
      <c r="C195" s="328"/>
      <c r="D195" s="354"/>
      <c r="E195" s="327"/>
      <c r="F195" s="328"/>
      <c r="G195" s="635"/>
      <c r="H195" s="641"/>
      <c r="I195" s="1173"/>
      <c r="N195"/>
      <c r="O195"/>
      <c r="P195"/>
    </row>
    <row r="196" spans="1:16" s="409" customFormat="1" ht="16.5" thickBot="1">
      <c r="A196" s="335">
        <v>97</v>
      </c>
      <c r="B196" s="679" t="s">
        <v>483</v>
      </c>
      <c r="C196" s="680"/>
      <c r="D196" s="587"/>
      <c r="E196" s="681"/>
      <c r="F196" s="586" t="str">
        <f>"(Line "&amp;A177&amp;" + "&amp;A179&amp;" + "&amp;A187&amp;" + "&amp;A193&amp;")"</f>
        <v>(Line 86 + 86a + 91 + 96)</v>
      </c>
      <c r="G196" s="682"/>
      <c r="H196" s="683">
        <f>+H177+H179+H187+H193</f>
        <v>43256868.012186468</v>
      </c>
      <c r="I196" s="627"/>
      <c r="J196" s="233"/>
      <c r="K196"/>
      <c r="L196"/>
      <c r="M196"/>
      <c r="N196"/>
      <c r="O196"/>
      <c r="P196"/>
    </row>
    <row r="197" spans="1:16" ht="16.5" thickTop="1">
      <c r="N197"/>
      <c r="O197"/>
      <c r="P197"/>
    </row>
    <row r="198" spans="1:16">
      <c r="A198" s="656" t="s">
        <v>484</v>
      </c>
      <c r="B198" s="657"/>
      <c r="C198" s="658"/>
      <c r="D198" s="386"/>
      <c r="E198" s="684"/>
      <c r="F198" s="324"/>
      <c r="G198" s="324"/>
      <c r="H198" s="387"/>
      <c r="I198" s="575"/>
      <c r="N198"/>
      <c r="O198"/>
      <c r="P198"/>
    </row>
    <row r="199" spans="1:16">
      <c r="A199" s="620"/>
      <c r="B199" s="335"/>
      <c r="C199" s="358"/>
      <c r="D199" s="354"/>
      <c r="E199" s="389"/>
      <c r="F199" s="331"/>
      <c r="G199" s="331"/>
      <c r="H199" s="589"/>
      <c r="I199" s="1170"/>
      <c r="N199"/>
      <c r="O199"/>
      <c r="P199"/>
    </row>
    <row r="200" spans="1:16">
      <c r="A200" s="327">
        <v>98</v>
      </c>
      <c r="B200" s="328" t="s">
        <v>485</v>
      </c>
      <c r="C200" s="685"/>
      <c r="E200" s="590"/>
      <c r="F200" s="321" t="s">
        <v>486</v>
      </c>
      <c r="G200" s="321"/>
      <c r="H200" s="686">
        <f>+'2 - Other Tax'!G43</f>
        <v>13070119.076989416</v>
      </c>
      <c r="I200" s="686"/>
      <c r="N200"/>
      <c r="O200"/>
      <c r="P200"/>
    </row>
    <row r="201" spans="1:16">
      <c r="A201" s="577"/>
      <c r="B201" s="354"/>
      <c r="E201" s="335"/>
      <c r="F201" s="336"/>
      <c r="G201" s="321"/>
      <c r="N201"/>
      <c r="O201"/>
      <c r="P201"/>
    </row>
    <row r="202" spans="1:16" ht="16.5" thickBot="1">
      <c r="A202" s="327">
        <v>99</v>
      </c>
      <c r="B202" s="583" t="s">
        <v>487</v>
      </c>
      <c r="C202" s="583"/>
      <c r="D202" s="587"/>
      <c r="E202" s="598"/>
      <c r="F202" s="586" t="str">
        <f>"(Line "&amp;A200&amp;")"</f>
        <v>(Line 98)</v>
      </c>
      <c r="G202" s="382"/>
      <c r="H202" s="615">
        <f>+H200</f>
        <v>13070119.076989416</v>
      </c>
      <c r="I202" s="717"/>
      <c r="N202"/>
      <c r="O202"/>
      <c r="P202"/>
    </row>
    <row r="203" spans="1:16" ht="16.5" thickTop="1">
      <c r="A203" s="320"/>
      <c r="N203"/>
      <c r="O203"/>
      <c r="P203"/>
    </row>
    <row r="204" spans="1:16">
      <c r="A204" s="656" t="s">
        <v>488</v>
      </c>
      <c r="B204" s="657"/>
      <c r="C204" s="658"/>
      <c r="D204" s="386"/>
      <c r="E204" s="659"/>
      <c r="F204" s="324"/>
      <c r="G204" s="324"/>
      <c r="H204" s="387"/>
      <c r="I204" s="575"/>
      <c r="N204"/>
      <c r="O204"/>
      <c r="P204"/>
    </row>
    <row r="205" spans="1:16">
      <c r="A205" s="336"/>
      <c r="B205" s="335"/>
      <c r="C205" s="358"/>
      <c r="D205" s="354"/>
      <c r="E205" s="389"/>
      <c r="F205" s="331"/>
      <c r="G205" s="331"/>
      <c r="H205" s="589"/>
      <c r="I205" s="1170"/>
      <c r="N205"/>
      <c r="O205"/>
      <c r="P205"/>
    </row>
    <row r="206" spans="1:16">
      <c r="A206" s="327"/>
      <c r="B206" s="333" t="s">
        <v>2</v>
      </c>
      <c r="D206" s="330"/>
      <c r="E206" s="618"/>
      <c r="G206" s="333"/>
      <c r="N206"/>
      <c r="O206"/>
      <c r="P206"/>
    </row>
    <row r="207" spans="1:16">
      <c r="A207" s="327">
        <v>100</v>
      </c>
      <c r="B207" s="333"/>
      <c r="C207" s="331" t="s">
        <v>2</v>
      </c>
      <c r="D207" s="330"/>
      <c r="E207" s="618"/>
      <c r="F207" s="333" t="s">
        <v>489</v>
      </c>
      <c r="G207" s="333"/>
      <c r="H207" s="1846">
        <f>142531583+3331460+1780896-304156</f>
        <v>147339783</v>
      </c>
      <c r="I207" s="334"/>
      <c r="N207"/>
      <c r="O207"/>
      <c r="P207"/>
    </row>
    <row r="208" spans="1:16">
      <c r="A208" s="327">
        <v>101</v>
      </c>
      <c r="B208" s="327"/>
      <c r="C208" s="687" t="s">
        <v>490</v>
      </c>
      <c r="D208" s="664"/>
      <c r="E208" s="688" t="s">
        <v>962</v>
      </c>
      <c r="F208" s="349" t="s">
        <v>491</v>
      </c>
      <c r="G208" s="340"/>
      <c r="H208" s="667">
        <f>+'8 - Securitization'!E14</f>
        <v>0</v>
      </c>
      <c r="I208" s="627"/>
      <c r="N208"/>
      <c r="O208"/>
      <c r="P208"/>
    </row>
    <row r="209" spans="1:16">
      <c r="A209" s="335">
        <v>102</v>
      </c>
      <c r="B209" s="335"/>
      <c r="C209" s="333" t="s">
        <v>2</v>
      </c>
      <c r="D209" s="330"/>
      <c r="E209" s="579"/>
      <c r="F209" s="334" t="s">
        <v>492</v>
      </c>
      <c r="G209" s="333"/>
      <c r="H209" s="333">
        <f>+H207-H208</f>
        <v>147339783</v>
      </c>
      <c r="I209" s="334"/>
      <c r="N209"/>
      <c r="O209"/>
      <c r="P209"/>
    </row>
    <row r="210" spans="1:16">
      <c r="A210" s="335"/>
      <c r="B210" s="335"/>
      <c r="C210" s="342"/>
      <c r="F210" s="354"/>
      <c r="G210" s="342"/>
      <c r="H210" s="342"/>
      <c r="I210" s="343"/>
      <c r="N210"/>
      <c r="O210"/>
      <c r="P210"/>
    </row>
    <row r="211" spans="1:16">
      <c r="A211" s="335">
        <v>103</v>
      </c>
      <c r="B211" s="342" t="s">
        <v>493</v>
      </c>
      <c r="E211" s="389" t="s">
        <v>494</v>
      </c>
      <c r="F211" s="343" t="s">
        <v>495</v>
      </c>
      <c r="G211" s="342"/>
      <c r="H211" s="689">
        <v>0</v>
      </c>
      <c r="I211" s="1177"/>
      <c r="N211"/>
      <c r="O211"/>
      <c r="P211"/>
    </row>
    <row r="212" spans="1:16">
      <c r="A212" s="335"/>
      <c r="B212" s="335"/>
      <c r="C212" s="346"/>
      <c r="E212" s="389"/>
      <c r="F212" s="343"/>
      <c r="G212" s="342"/>
      <c r="H212" s="342"/>
      <c r="I212" s="343"/>
      <c r="N212"/>
      <c r="O212"/>
      <c r="P212"/>
    </row>
    <row r="213" spans="1:16">
      <c r="A213" s="335"/>
      <c r="B213" s="346" t="s">
        <v>496</v>
      </c>
      <c r="E213" s="389"/>
      <c r="F213" s="343"/>
      <c r="G213" s="342"/>
      <c r="H213" s="342"/>
      <c r="I213" s="343"/>
      <c r="N213"/>
      <c r="O213"/>
      <c r="P213"/>
    </row>
    <row r="214" spans="1:16">
      <c r="A214" s="335">
        <v>104</v>
      </c>
      <c r="B214" s="335"/>
      <c r="C214" s="342" t="s">
        <v>497</v>
      </c>
      <c r="D214" s="342"/>
      <c r="E214" s="590"/>
      <c r="F214" s="343" t="s">
        <v>498</v>
      </c>
      <c r="G214" s="342"/>
      <c r="H214" s="580">
        <v>3093162241.43923</v>
      </c>
      <c r="I214" s="1169"/>
      <c r="N214"/>
      <c r="O214"/>
      <c r="P214"/>
    </row>
    <row r="215" spans="1:16">
      <c r="A215" s="327">
        <v>105</v>
      </c>
      <c r="B215" s="327"/>
      <c r="C215" s="343" t="s">
        <v>499</v>
      </c>
      <c r="D215" s="343"/>
      <c r="E215" s="363" t="s">
        <v>235</v>
      </c>
      <c r="F215" s="407" t="str">
        <f>"(Line "&amp;A227&amp;")"</f>
        <v>(Line 114)</v>
      </c>
      <c r="G215" s="342"/>
      <c r="H215" s="343">
        <f>-H227</f>
        <v>0</v>
      </c>
      <c r="I215" s="343"/>
      <c r="N215"/>
      <c r="O215"/>
      <c r="P215"/>
    </row>
    <row r="216" spans="1:16">
      <c r="A216" s="335">
        <v>106</v>
      </c>
      <c r="B216" s="327"/>
      <c r="C216" s="334" t="s">
        <v>500</v>
      </c>
      <c r="D216" s="334"/>
      <c r="E216" s="1289" t="s">
        <v>235</v>
      </c>
      <c r="F216" s="334" t="s">
        <v>501</v>
      </c>
      <c r="G216" s="333"/>
      <c r="H216" s="608">
        <v>-1646367</v>
      </c>
      <c r="I216" s="334"/>
      <c r="N216"/>
      <c r="O216"/>
      <c r="P216"/>
    </row>
    <row r="217" spans="1:16">
      <c r="A217" s="1236" t="s">
        <v>1389</v>
      </c>
      <c r="B217" s="1236"/>
      <c r="C217" s="1290" t="s">
        <v>1390</v>
      </c>
      <c r="D217" s="1290"/>
      <c r="E217" s="1291" t="s">
        <v>235</v>
      </c>
      <c r="F217" s="1290" t="s">
        <v>1391</v>
      </c>
      <c r="G217" s="340"/>
      <c r="H217" s="690">
        <v>0</v>
      </c>
      <c r="I217" s="334"/>
      <c r="N217"/>
      <c r="O217"/>
      <c r="P217"/>
    </row>
    <row r="218" spans="1:16">
      <c r="A218" s="335">
        <v>107</v>
      </c>
      <c r="B218" s="327"/>
      <c r="C218" s="334" t="s">
        <v>496</v>
      </c>
      <c r="D218" s="334"/>
      <c r="E218" s="1419" t="s">
        <v>1469</v>
      </c>
      <c r="F218" s="333" t="s">
        <v>1392</v>
      </c>
      <c r="G218" s="352"/>
      <c r="H218" s="342">
        <f>SUM(H214:H217)</f>
        <v>3091515874.43923</v>
      </c>
      <c r="I218" s="343"/>
      <c r="N218"/>
      <c r="O218"/>
      <c r="P218"/>
    </row>
    <row r="219" spans="1:16">
      <c r="A219" s="335"/>
      <c r="B219" s="335"/>
      <c r="C219" s="346"/>
      <c r="E219" s="389"/>
      <c r="F219" s="342"/>
      <c r="G219" s="331"/>
      <c r="H219" s="342"/>
      <c r="I219" s="343"/>
      <c r="N219"/>
      <c r="O219"/>
      <c r="P219"/>
    </row>
    <row r="220" spans="1:16">
      <c r="A220" s="335"/>
      <c r="B220" s="346" t="s">
        <v>3</v>
      </c>
      <c r="E220" s="389"/>
      <c r="F220" s="342"/>
      <c r="G220" s="331"/>
      <c r="H220" s="342"/>
      <c r="I220" s="343"/>
      <c r="N220"/>
      <c r="O220"/>
      <c r="P220"/>
    </row>
    <row r="221" spans="1:16">
      <c r="A221" s="335">
        <v>108</v>
      </c>
      <c r="B221" s="335"/>
      <c r="C221" s="346" t="s">
        <v>502</v>
      </c>
      <c r="E221" s="590"/>
      <c r="F221" s="346" t="s">
        <v>503</v>
      </c>
      <c r="G221" s="331"/>
      <c r="H221" s="595">
        <v>3058895950.1362863</v>
      </c>
      <c r="I221" s="343"/>
      <c r="N221"/>
      <c r="O221"/>
      <c r="P221"/>
    </row>
    <row r="222" spans="1:16">
      <c r="A222" s="327">
        <v>109</v>
      </c>
      <c r="B222" s="335"/>
      <c r="C222" s="346" t="s">
        <v>504</v>
      </c>
      <c r="E222" s="389" t="str">
        <f>+E216</f>
        <v>enter negative</v>
      </c>
      <c r="F222" s="358" t="s">
        <v>505</v>
      </c>
      <c r="G222" s="331"/>
      <c r="H222" s="595">
        <v>-11056347.51</v>
      </c>
      <c r="I222" s="343"/>
      <c r="N222"/>
      <c r="O222"/>
      <c r="P222"/>
    </row>
    <row r="223" spans="1:16">
      <c r="A223" s="327">
        <v>110</v>
      </c>
      <c r="B223" s="335"/>
      <c r="C223" s="346" t="s">
        <v>506</v>
      </c>
      <c r="E223" s="335" t="s">
        <v>507</v>
      </c>
      <c r="F223" s="364" t="s">
        <v>508</v>
      </c>
      <c r="G223" s="331"/>
      <c r="H223" s="595">
        <v>0</v>
      </c>
      <c r="I223" s="343"/>
      <c r="N223"/>
      <c r="O223"/>
      <c r="P223"/>
    </row>
    <row r="224" spans="1:16">
      <c r="A224" s="327">
        <v>111</v>
      </c>
      <c r="B224" s="327"/>
      <c r="C224" s="358" t="s">
        <v>509</v>
      </c>
      <c r="D224" s="354"/>
      <c r="E224" s="363" t="str">
        <f>+E222</f>
        <v>enter negative</v>
      </c>
      <c r="F224" s="1427" t="s">
        <v>1470</v>
      </c>
      <c r="G224" s="354"/>
      <c r="H224" s="1706">
        <f>-'1B - ADIT EOY'!E22</f>
        <v>3046798</v>
      </c>
      <c r="I224" s="343"/>
      <c r="N224"/>
      <c r="O224"/>
      <c r="P224"/>
    </row>
    <row r="225" spans="1:16">
      <c r="A225" s="327">
        <v>112</v>
      </c>
      <c r="B225" s="327"/>
      <c r="C225" s="321" t="s">
        <v>510</v>
      </c>
      <c r="D225" s="688" t="s">
        <v>962</v>
      </c>
      <c r="E225" s="1421" t="s">
        <v>235</v>
      </c>
      <c r="F225" s="349" t="str">
        <f>+F208</f>
        <v>Attachment 8</v>
      </c>
      <c r="G225" s="331"/>
      <c r="H225" s="595">
        <f>+'8 - Securitization'!E18</f>
        <v>0</v>
      </c>
      <c r="I225" s="343"/>
      <c r="N225"/>
      <c r="O225"/>
      <c r="P225"/>
    </row>
    <row r="226" spans="1:16">
      <c r="A226" s="327">
        <v>113</v>
      </c>
      <c r="B226" s="327"/>
      <c r="C226" s="356" t="s">
        <v>511</v>
      </c>
      <c r="D226" s="355"/>
      <c r="E226" s="1420" t="s">
        <v>1182</v>
      </c>
      <c r="F226" s="334" t="str">
        <f>"(Sum Lines "&amp;A221&amp;" to "&amp;A225&amp;")"</f>
        <v>(Sum Lines 108 to 112)</v>
      </c>
      <c r="G226" s="355"/>
      <c r="H226" s="357">
        <f>SUM(H221:H225)</f>
        <v>3050886400.626286</v>
      </c>
      <c r="I226" s="334"/>
      <c r="N226"/>
      <c r="O226"/>
      <c r="P226"/>
    </row>
    <row r="227" spans="1:16">
      <c r="A227" s="335">
        <v>114</v>
      </c>
      <c r="B227" s="335"/>
      <c r="C227" s="346" t="s">
        <v>512</v>
      </c>
      <c r="E227" s="1420" t="s">
        <v>1387</v>
      </c>
      <c r="F227" s="358" t="s">
        <v>513</v>
      </c>
      <c r="G227" s="331"/>
      <c r="H227" s="595">
        <v>0</v>
      </c>
      <c r="I227" s="343"/>
      <c r="N227"/>
      <c r="O227"/>
      <c r="P227"/>
    </row>
    <row r="228" spans="1:16">
      <c r="A228" s="335">
        <v>115</v>
      </c>
      <c r="B228" s="335"/>
      <c r="C228" s="346" t="s">
        <v>496</v>
      </c>
      <c r="F228" s="340" t="str">
        <f>"(Line "&amp;A218&amp;")"</f>
        <v>(Line 107)</v>
      </c>
      <c r="G228" s="331"/>
      <c r="H228" s="333">
        <f>H218</f>
        <v>3091515874.43923</v>
      </c>
      <c r="I228" s="334"/>
      <c r="N228"/>
      <c r="O228"/>
      <c r="P228"/>
    </row>
    <row r="229" spans="1:16">
      <c r="A229" s="335">
        <v>116</v>
      </c>
      <c r="B229" s="335"/>
      <c r="C229" s="356" t="s">
        <v>514</v>
      </c>
      <c r="D229" s="359"/>
      <c r="E229" s="596"/>
      <c r="F229" s="333" t="str">
        <f>"(Sum Lines "&amp;A226&amp;" to "&amp;A228&amp;")"</f>
        <v>(Sum Lines 113 to 115)</v>
      </c>
      <c r="G229" s="362"/>
      <c r="H229" s="362">
        <f>H228+H227+H226</f>
        <v>6142402275.0655155</v>
      </c>
      <c r="I229" s="334"/>
      <c r="N229"/>
      <c r="O229"/>
      <c r="P229"/>
    </row>
    <row r="230" spans="1:16">
      <c r="A230" s="335"/>
      <c r="B230" s="335"/>
      <c r="C230" s="346"/>
      <c r="G230" s="342"/>
      <c r="H230" s="389"/>
      <c r="I230" s="363"/>
      <c r="N230"/>
      <c r="O230"/>
      <c r="P230"/>
    </row>
    <row r="231" spans="1:16">
      <c r="A231" s="327">
        <v>117</v>
      </c>
      <c r="B231" s="335"/>
      <c r="C231" s="365" t="s">
        <v>515</v>
      </c>
      <c r="D231" s="364" t="s">
        <v>511</v>
      </c>
      <c r="E231" s="1293" t="s">
        <v>1393</v>
      </c>
      <c r="F231" s="597" t="str">
        <f>"(Line "&amp;A221&amp;" / ("&amp;A221&amp;"+"&amp;A227&amp;"+"&amp;A228&amp;"))"</f>
        <v>(Line 108 / (108+114+115))</v>
      </c>
      <c r="G231" s="342"/>
      <c r="H231" s="1292">
        <f>IF(H229&gt;0,H221/(H221++H227+H228),0)</f>
        <v>0.49734815121057407</v>
      </c>
      <c r="I231" s="1178"/>
      <c r="N231"/>
      <c r="O231"/>
      <c r="P231"/>
    </row>
    <row r="232" spans="1:16">
      <c r="A232" s="327">
        <v>118</v>
      </c>
      <c r="B232" s="335"/>
      <c r="C232" s="365" t="s">
        <v>516</v>
      </c>
      <c r="D232" s="346" t="s">
        <v>512</v>
      </c>
      <c r="E232" s="691"/>
      <c r="F232" s="597" t="str">
        <f>"(Line "&amp;A227&amp;" / ("&amp;A221&amp;"+"&amp;A227&amp;"+"&amp;A228&amp;"))"</f>
        <v>(Line 114 / (108+114+115))</v>
      </c>
      <c r="G232" s="342"/>
      <c r="H232" s="1292">
        <f>IF(H229&gt;0,H227/(H221+H227+H228),0)</f>
        <v>0</v>
      </c>
      <c r="I232" s="1178"/>
      <c r="N232"/>
      <c r="O232"/>
      <c r="P232"/>
    </row>
    <row r="233" spans="1:16">
      <c r="A233" s="327">
        <v>119</v>
      </c>
      <c r="B233" s="335"/>
      <c r="C233" s="365" t="s">
        <v>517</v>
      </c>
      <c r="D233" s="346" t="s">
        <v>496</v>
      </c>
      <c r="E233" s="1293" t="s">
        <v>1393</v>
      </c>
      <c r="F233" s="597" t="str">
        <f>"(Line "&amp;A228&amp;" / ("&amp;A221&amp;"+"&amp;A227&amp;"+"&amp;A228&amp;"))"</f>
        <v>(Line 115 / (108+114+115))</v>
      </c>
      <c r="G233" s="342"/>
      <c r="H233" s="1292">
        <f>IF(H229&gt;0,H228/(H221+H227+H228),0)</f>
        <v>0.50265184878942604</v>
      </c>
      <c r="I233" s="1178"/>
      <c r="N233"/>
      <c r="O233"/>
      <c r="P233"/>
    </row>
    <row r="234" spans="1:16">
      <c r="A234" s="327"/>
      <c r="B234" s="335"/>
      <c r="C234" s="345"/>
      <c r="F234" s="342"/>
      <c r="G234" s="342"/>
      <c r="H234" s="1097"/>
      <c r="I234" s="1179"/>
      <c r="N234"/>
      <c r="O234"/>
      <c r="P234"/>
    </row>
    <row r="235" spans="1:16">
      <c r="A235" s="327">
        <v>120</v>
      </c>
      <c r="B235" s="335"/>
      <c r="C235" s="345" t="s">
        <v>518</v>
      </c>
      <c r="D235" s="364" t="s">
        <v>511</v>
      </c>
      <c r="E235"/>
      <c r="F235" s="333" t="str">
        <f>"(Line "&amp;A209&amp;" / "&amp;A226&amp;")"</f>
        <v>(Line 102 / 113)</v>
      </c>
      <c r="G235" s="342"/>
      <c r="H235" s="369">
        <f>IF(H226&gt;0,H209/H226,0)</f>
        <v>4.8294090192854799E-2</v>
      </c>
      <c r="I235" s="366"/>
      <c r="N235"/>
      <c r="O235"/>
      <c r="P235"/>
    </row>
    <row r="236" spans="1:16">
      <c r="A236" s="327">
        <v>121</v>
      </c>
      <c r="B236" s="335"/>
      <c r="C236" s="345" t="s">
        <v>519</v>
      </c>
      <c r="D236" s="346" t="s">
        <v>512</v>
      </c>
      <c r="F236" s="333" t="str">
        <f>"(Line "&amp;A211&amp;" / "&amp;A227&amp;")"</f>
        <v>(Line 103 / 114)</v>
      </c>
      <c r="G236" s="342"/>
      <c r="H236" s="369">
        <f>IF(H227&gt;0,H211/H227,0)</f>
        <v>0</v>
      </c>
      <c r="I236" s="366"/>
      <c r="N236"/>
      <c r="O236"/>
      <c r="P236"/>
    </row>
    <row r="237" spans="1:16">
      <c r="A237" s="327">
        <v>122</v>
      </c>
      <c r="B237" s="335"/>
      <c r="C237" s="345" t="s">
        <v>520</v>
      </c>
      <c r="D237" s="346" t="s">
        <v>496</v>
      </c>
      <c r="E237" s="590" t="str">
        <f>"(Note "&amp;B$346&amp;")"</f>
        <v>(Note J)</v>
      </c>
      <c r="F237" s="343" t="s">
        <v>521</v>
      </c>
      <c r="G237" s="342"/>
      <c r="H237" s="692">
        <v>0.105</v>
      </c>
      <c r="I237" s="366"/>
      <c r="N237"/>
      <c r="O237"/>
      <c r="P237"/>
    </row>
    <row r="238" spans="1:16">
      <c r="A238" s="327"/>
      <c r="B238" s="335"/>
      <c r="C238" s="345"/>
      <c r="F238" s="342"/>
      <c r="G238" s="342"/>
      <c r="H238" s="331"/>
      <c r="I238" s="354"/>
      <c r="N238"/>
      <c r="O238"/>
      <c r="P238"/>
    </row>
    <row r="239" spans="1:16">
      <c r="A239" s="327">
        <v>123</v>
      </c>
      <c r="B239" s="335"/>
      <c r="C239" s="365" t="s">
        <v>522</v>
      </c>
      <c r="D239" s="364" t="s">
        <v>523</v>
      </c>
      <c r="F239" s="333" t="str">
        <f>"(Line "&amp;A231&amp;" * "&amp;A235&amp;")"</f>
        <v>(Line 117 * 120)</v>
      </c>
      <c r="G239" s="368"/>
      <c r="H239" s="369">
        <f>H235*H231</f>
        <v>2.4018976471813051E-2</v>
      </c>
      <c r="I239" s="366"/>
      <c r="N239"/>
      <c r="O239"/>
      <c r="P239"/>
    </row>
    <row r="240" spans="1:16">
      <c r="A240" s="327">
        <v>124</v>
      </c>
      <c r="B240" s="335"/>
      <c r="C240" s="365" t="s">
        <v>524</v>
      </c>
      <c r="D240" s="346" t="s">
        <v>512</v>
      </c>
      <c r="F240" s="333" t="str">
        <f>"(Line "&amp;A232&amp;" * "&amp;A236&amp;")"</f>
        <v>(Line 118 * 121)</v>
      </c>
      <c r="G240" s="370"/>
      <c r="H240" s="369">
        <f>H236*H232</f>
        <v>0</v>
      </c>
      <c r="I240" s="366"/>
      <c r="N240"/>
      <c r="O240"/>
      <c r="P240"/>
    </row>
    <row r="241" spans="1:16">
      <c r="A241" s="327">
        <v>125</v>
      </c>
      <c r="B241" s="401"/>
      <c r="C241" s="371" t="s">
        <v>525</v>
      </c>
      <c r="D241" s="372" t="s">
        <v>496</v>
      </c>
      <c r="E241" s="607"/>
      <c r="F241" s="340" t="str">
        <f>"(Line "&amp;A233&amp;" * "&amp;A237&amp;")"</f>
        <v>(Line 119 * 122)</v>
      </c>
      <c r="G241" s="373"/>
      <c r="H241" s="374">
        <f>H237*H233</f>
        <v>5.2778444122889734E-2</v>
      </c>
      <c r="I241" s="1180"/>
      <c r="N241"/>
      <c r="O241"/>
      <c r="P241"/>
    </row>
    <row r="242" spans="1:16" s="409" customFormat="1">
      <c r="A242" s="335">
        <v>126</v>
      </c>
      <c r="B242" s="617" t="s">
        <v>526</v>
      </c>
      <c r="C242" s="617"/>
      <c r="D242" s="330"/>
      <c r="E242" s="579"/>
      <c r="F242" s="333" t="str">
        <f>"(Sum Lines "&amp;A239&amp;" to "&amp;A241&amp;")"</f>
        <v>(Sum Lines 123 to 125)</v>
      </c>
      <c r="G242" s="693"/>
      <c r="H242" s="369">
        <f>SUM(H239:H241)</f>
        <v>7.6797420594702792E-2</v>
      </c>
      <c r="I242" s="366"/>
      <c r="J242" s="694"/>
      <c r="K242"/>
      <c r="L242"/>
      <c r="M242"/>
      <c r="N242"/>
      <c r="O242"/>
      <c r="P242"/>
    </row>
    <row r="243" spans="1:16" s="409" customFormat="1">
      <c r="A243" s="335"/>
      <c r="B243" s="335"/>
      <c r="C243" s="617"/>
      <c r="D243" s="330"/>
      <c r="E243" s="579"/>
      <c r="F243" s="333"/>
      <c r="G243" s="693"/>
      <c r="H243" s="369"/>
      <c r="I243" s="366"/>
      <c r="K243"/>
      <c r="L243"/>
      <c r="M243"/>
      <c r="N243"/>
      <c r="O243"/>
      <c r="P243"/>
    </row>
    <row r="244" spans="1:16" ht="16.5" thickBot="1">
      <c r="A244" s="335">
        <v>127</v>
      </c>
      <c r="B244" s="695" t="s">
        <v>527</v>
      </c>
      <c r="C244" s="382"/>
      <c r="D244" s="587"/>
      <c r="E244" s="670"/>
      <c r="F244" s="586" t="str">
        <f>"(Line "&amp;A131&amp;" * "&amp;A242&amp;")"</f>
        <v>(Line 59 * 126)</v>
      </c>
      <c r="G244" s="696"/>
      <c r="H244" s="586">
        <f>+H131*H242</f>
        <v>75164346.288213998</v>
      </c>
      <c r="I244" s="334"/>
      <c r="N244"/>
      <c r="O244"/>
      <c r="P244"/>
    </row>
    <row r="245" spans="1:16" ht="16.5" thickTop="1">
      <c r="A245" s="335"/>
      <c r="B245" s="335"/>
      <c r="C245" s="346"/>
      <c r="F245" s="342"/>
      <c r="G245" s="342"/>
      <c r="H245" s="369"/>
      <c r="I245" s="366"/>
      <c r="N245"/>
      <c r="O245"/>
      <c r="P245"/>
    </row>
    <row r="246" spans="1:16">
      <c r="A246" s="656" t="s">
        <v>528</v>
      </c>
      <c r="B246" s="657"/>
      <c r="C246" s="658"/>
      <c r="D246" s="386"/>
      <c r="E246" s="684"/>
      <c r="F246" s="324"/>
      <c r="G246" s="324"/>
      <c r="H246" s="387"/>
      <c r="I246" s="575"/>
      <c r="N246"/>
      <c r="O246"/>
      <c r="P246"/>
    </row>
    <row r="247" spans="1:16">
      <c r="A247" s="328"/>
      <c r="B247" s="335"/>
      <c r="C247" s="358"/>
      <c r="D247" s="354"/>
      <c r="E247" s="389"/>
      <c r="F247" s="331"/>
      <c r="G247" s="331"/>
      <c r="H247" s="589"/>
      <c r="I247" s="1170"/>
      <c r="N247"/>
      <c r="O247"/>
      <c r="P247"/>
    </row>
    <row r="248" spans="1:16">
      <c r="A248" s="335" t="s">
        <v>101</v>
      </c>
      <c r="B248" s="697" t="s">
        <v>102</v>
      </c>
      <c r="E248" s="389"/>
      <c r="F248" s="342"/>
      <c r="G248" s="391"/>
      <c r="H248" s="331"/>
      <c r="I248" s="354"/>
      <c r="N248"/>
      <c r="O248"/>
      <c r="P248"/>
    </row>
    <row r="249" spans="1:16">
      <c r="A249" s="335">
        <v>128</v>
      </c>
      <c r="B249" s="335"/>
      <c r="C249" s="331" t="s">
        <v>228</v>
      </c>
      <c r="E249" s="691" t="str">
        <f>"(Note "&amp;B344&amp;")"</f>
        <v>(Note I)</v>
      </c>
      <c r="F249" s="331"/>
      <c r="G249" s="392"/>
      <c r="H249" s="698">
        <v>0.21</v>
      </c>
      <c r="I249" s="393"/>
      <c r="N249"/>
      <c r="O249"/>
      <c r="P249"/>
    </row>
    <row r="250" spans="1:16">
      <c r="A250" s="327">
        <v>129</v>
      </c>
      <c r="B250" s="335"/>
      <c r="C250" s="392" t="s">
        <v>229</v>
      </c>
      <c r="D250" s="394"/>
      <c r="E250" s="590" t="str">
        <f>"(Note "&amp;B$344&amp;")"</f>
        <v>(Note I)</v>
      </c>
      <c r="F250" s="331"/>
      <c r="G250" s="392"/>
      <c r="H250" s="698">
        <f>'5 - Cost Support 1'!F65</f>
        <v>8.3000000000000004E-2</v>
      </c>
      <c r="I250" s="393"/>
      <c r="N250"/>
      <c r="O250"/>
      <c r="P250"/>
    </row>
    <row r="251" spans="1:16">
      <c r="A251" s="327">
        <v>130</v>
      </c>
      <c r="B251" s="335"/>
      <c r="C251" s="392" t="s">
        <v>529</v>
      </c>
      <c r="D251" s="392" t="s">
        <v>530</v>
      </c>
      <c r="E251" s="1099"/>
      <c r="F251" s="331" t="s">
        <v>531</v>
      </c>
      <c r="G251" s="392"/>
      <c r="H251" s="698">
        <v>0</v>
      </c>
      <c r="I251" s="393"/>
      <c r="N251"/>
      <c r="O251"/>
      <c r="P251"/>
    </row>
    <row r="252" spans="1:16">
      <c r="A252" s="327">
        <v>131</v>
      </c>
      <c r="B252" s="335"/>
      <c r="C252" s="392" t="s">
        <v>231</v>
      </c>
      <c r="D252" s="395" t="s">
        <v>232</v>
      </c>
      <c r="E252" s="1099"/>
      <c r="F252" s="331"/>
      <c r="G252" s="392"/>
      <c r="H252" s="397">
        <f>IF(H249&gt;0,1-(((1-H250)*(1-H249))/(1-H250*H249*H251)),0)</f>
        <v>0.27556999999999998</v>
      </c>
      <c r="I252" s="397"/>
      <c r="N252"/>
      <c r="O252"/>
      <c r="P252"/>
    </row>
    <row r="253" spans="1:16">
      <c r="A253" s="327" t="s">
        <v>1471</v>
      </c>
      <c r="B253" s="335"/>
      <c r="C253" s="392" t="s">
        <v>233</v>
      </c>
      <c r="D253" s="394"/>
      <c r="E253" s="1099"/>
      <c r="F253" s="331"/>
      <c r="G253" s="392"/>
      <c r="H253" s="393">
        <f>+H252/(1-H252)</f>
        <v>0.38039562138508892</v>
      </c>
      <c r="I253" s="393"/>
      <c r="N253"/>
      <c r="O253"/>
      <c r="P253"/>
    </row>
    <row r="254" spans="1:16" s="1423" customFormat="1">
      <c r="A254" s="327" t="s">
        <v>1472</v>
      </c>
      <c r="B254" s="1426"/>
      <c r="C254" s="1430" t="s">
        <v>1473</v>
      </c>
      <c r="D254" s="1431" t="s">
        <v>1474</v>
      </c>
      <c r="E254" s="1424"/>
      <c r="F254" s="1425"/>
      <c r="G254" s="1428"/>
      <c r="H254" s="1432">
        <f>1*1/(1-H252)</f>
        <v>1.380395621385089</v>
      </c>
      <c r="I254" s="1429"/>
      <c r="K254"/>
      <c r="L254"/>
      <c r="M254"/>
      <c r="N254" s="1422"/>
      <c r="O254" s="1422"/>
      <c r="P254" s="1422"/>
    </row>
    <row r="255" spans="1:16">
      <c r="A255" s="327"/>
      <c r="B255" s="335"/>
      <c r="E255" s="396"/>
      <c r="F255" s="395"/>
      <c r="G255" s="391"/>
      <c r="H255" s="397"/>
      <c r="I255" s="397"/>
      <c r="N255"/>
      <c r="O255"/>
      <c r="P255"/>
    </row>
    <row r="256" spans="1:16">
      <c r="A256" s="327"/>
      <c r="B256" s="697" t="s">
        <v>234</v>
      </c>
      <c r="C256" s="346"/>
      <c r="E256" s="590" t="str">
        <f>"(Note "&amp;B$361&amp;")"</f>
        <v>(Note U)</v>
      </c>
      <c r="F256" s="342"/>
      <c r="G256" s="391"/>
      <c r="H256" s="699"/>
      <c r="I256" s="398"/>
      <c r="N256"/>
      <c r="O256"/>
      <c r="P256"/>
    </row>
    <row r="257" spans="1:16">
      <c r="A257" s="327">
        <v>133</v>
      </c>
      <c r="B257" s="335"/>
      <c r="C257" s="1434" t="s">
        <v>1476</v>
      </c>
      <c r="E257" s="363" t="s">
        <v>235</v>
      </c>
      <c r="F257" s="1433" t="s">
        <v>1475</v>
      </c>
      <c r="G257" s="391"/>
      <c r="H257" s="1706">
        <f>-'1B - ADIT EOY'!E317</f>
        <v>-24210.036549714579</v>
      </c>
      <c r="I257" s="343"/>
      <c r="N257"/>
      <c r="O257"/>
      <c r="P257"/>
    </row>
    <row r="258" spans="1:16">
      <c r="A258" s="327">
        <v>134</v>
      </c>
      <c r="B258" s="335"/>
      <c r="C258" s="1452" t="s">
        <v>1473</v>
      </c>
      <c r="D258" s="1448"/>
      <c r="E258" s="401"/>
      <c r="F258" s="1449" t="str">
        <f>"(Line "&amp;A254&amp;")"</f>
        <v>(Line 132b)</v>
      </c>
      <c r="G258" s="1480"/>
      <c r="H258" s="1481">
        <f>+H254</f>
        <v>1.380395621385089</v>
      </c>
      <c r="I258" s="398"/>
      <c r="N258"/>
      <c r="O258"/>
      <c r="P258"/>
    </row>
    <row r="259" spans="1:16">
      <c r="A259" s="327">
        <v>135</v>
      </c>
      <c r="B259" s="335"/>
      <c r="C259" s="700" t="s">
        <v>237</v>
      </c>
      <c r="D259" s="355"/>
      <c r="E259" s="590"/>
      <c r="F259" s="1437" t="s">
        <v>1513</v>
      </c>
      <c r="G259" s="405"/>
      <c r="H259" s="357">
        <f>+H257*H258</f>
        <v>-33419.428446798971</v>
      </c>
      <c r="I259" s="334"/>
      <c r="N259"/>
      <c r="O259"/>
      <c r="P259"/>
    </row>
    <row r="260" spans="1:16">
      <c r="A260" s="327"/>
      <c r="B260" s="335"/>
      <c r="C260" s="365"/>
      <c r="D260" s="407"/>
      <c r="E260" s="590"/>
      <c r="F260" s="333"/>
      <c r="G260" s="402"/>
      <c r="H260" s="334"/>
      <c r="I260" s="334"/>
      <c r="N260"/>
      <c r="O260"/>
      <c r="P260"/>
    </row>
    <row r="261" spans="1:16" s="1436" customFormat="1">
      <c r="A261" s="327"/>
      <c r="B261" s="1447" t="s">
        <v>1172</v>
      </c>
      <c r="C261" s="1450"/>
      <c r="D261" s="1453"/>
      <c r="E261" s="1454"/>
      <c r="F261" s="1455"/>
      <c r="G261" s="1461"/>
      <c r="H261" s="1462"/>
      <c r="I261" s="1438"/>
      <c r="K261"/>
      <c r="L261"/>
      <c r="M261"/>
      <c r="N261" s="1435"/>
      <c r="O261" s="1435"/>
      <c r="P261" s="1435"/>
    </row>
    <row r="262" spans="1:16" s="1436" customFormat="1">
      <c r="A262" s="327" t="s">
        <v>1173</v>
      </c>
      <c r="B262" s="1447"/>
      <c r="C262" s="1450" t="s">
        <v>1478</v>
      </c>
      <c r="D262" s="1453"/>
      <c r="E262" s="1456" t="s">
        <v>1174</v>
      </c>
      <c r="F262" s="1444" t="s">
        <v>1509</v>
      </c>
      <c r="G262" s="1461"/>
      <c r="H262" s="1463">
        <f>+'5 - Cost Support 1'!L301</f>
        <v>200448.79128999999</v>
      </c>
      <c r="I262" s="1438"/>
      <c r="K262"/>
      <c r="L262"/>
      <c r="M262"/>
      <c r="N262" s="1435"/>
      <c r="O262" s="1435"/>
      <c r="P262" s="1435"/>
    </row>
    <row r="263" spans="1:16" s="1436" customFormat="1">
      <c r="A263" s="327" t="s">
        <v>1175</v>
      </c>
      <c r="B263" s="1447"/>
      <c r="C263" s="1450" t="s">
        <v>1480</v>
      </c>
      <c r="D263" s="1453"/>
      <c r="E263" s="1456" t="s">
        <v>1174</v>
      </c>
      <c r="F263" s="1444" t="s">
        <v>1479</v>
      </c>
      <c r="G263" s="1461"/>
      <c r="H263" s="1463">
        <f>+'5 - Cost Support 1'!L303</f>
        <v>-11930299.425162518</v>
      </c>
      <c r="I263" s="1438"/>
      <c r="K263"/>
      <c r="L263"/>
      <c r="M263"/>
      <c r="N263" s="1435"/>
      <c r="O263" s="1435"/>
      <c r="P263" s="1435"/>
    </row>
    <row r="264" spans="1:16" s="1436" customFormat="1">
      <c r="A264" s="327" t="s">
        <v>1176</v>
      </c>
      <c r="B264" s="1447"/>
      <c r="C264" s="1450" t="s">
        <v>1483</v>
      </c>
      <c r="D264" s="1453"/>
      <c r="E264" s="1456" t="s">
        <v>1174</v>
      </c>
      <c r="F264" s="1444" t="s">
        <v>1481</v>
      </c>
      <c r="G264" s="1461"/>
      <c r="H264" s="1463">
        <f>+'5 - Cost Support 1'!L304</f>
        <v>-504975.05</v>
      </c>
      <c r="I264" s="1438"/>
      <c r="K264"/>
      <c r="L264"/>
      <c r="M264"/>
      <c r="N264" s="1435"/>
      <c r="O264" s="1435"/>
      <c r="P264" s="1435"/>
    </row>
    <row r="265" spans="1:16" s="1436" customFormat="1">
      <c r="A265" s="327" t="s">
        <v>1482</v>
      </c>
      <c r="B265" s="1447"/>
      <c r="C265" s="1451" t="s">
        <v>1486</v>
      </c>
      <c r="D265" s="1460"/>
      <c r="E265" s="1458" t="s">
        <v>1174</v>
      </c>
      <c r="F265" s="1448" t="s">
        <v>1484</v>
      </c>
      <c r="G265" s="1464"/>
      <c r="H265" s="1465">
        <f>+'5 - Cost Support 1'!L305</f>
        <v>343668</v>
      </c>
      <c r="I265" s="1438"/>
      <c r="K265"/>
      <c r="L265"/>
      <c r="M265"/>
      <c r="N265" s="1435"/>
      <c r="O265" s="1435"/>
      <c r="P265" s="1435"/>
    </row>
    <row r="266" spans="1:16" s="1436" customFormat="1">
      <c r="A266" s="327" t="s">
        <v>1485</v>
      </c>
      <c r="B266" s="1447"/>
      <c r="C266" s="1450" t="s">
        <v>1488</v>
      </c>
      <c r="D266" s="1453"/>
      <c r="E266" s="1456"/>
      <c r="F266" s="1445" t="s">
        <v>1514</v>
      </c>
      <c r="G266" s="1461"/>
      <c r="H266" s="1457">
        <f>H262+H263+H264+H265</f>
        <v>-11891157.683872519</v>
      </c>
      <c r="I266" s="1438"/>
      <c r="K266"/>
      <c r="L266"/>
      <c r="M266"/>
      <c r="N266" s="1435"/>
      <c r="O266" s="1435"/>
      <c r="P266" s="1435"/>
    </row>
    <row r="267" spans="1:16" s="1436" customFormat="1">
      <c r="A267" s="327" t="s">
        <v>1487</v>
      </c>
      <c r="B267" s="1446"/>
      <c r="C267" s="1452" t="s">
        <v>1477</v>
      </c>
      <c r="D267" s="1460"/>
      <c r="E267" s="1466"/>
      <c r="F267" s="1449" t="s">
        <v>1490</v>
      </c>
      <c r="G267" s="1464"/>
      <c r="H267" s="1467">
        <f>+H254</f>
        <v>1.380395621385089</v>
      </c>
      <c r="I267" s="1438"/>
      <c r="K267"/>
      <c r="L267"/>
      <c r="M267"/>
      <c r="N267" s="1435"/>
      <c r="O267" s="1435"/>
      <c r="P267" s="1435"/>
    </row>
    <row r="268" spans="1:16" s="1436" customFormat="1">
      <c r="A268" s="327" t="s">
        <v>1489</v>
      </c>
      <c r="B268" s="1446"/>
      <c r="C268" s="1450" t="s">
        <v>1172</v>
      </c>
      <c r="D268" s="1453"/>
      <c r="E268" s="1454" t="s">
        <v>101</v>
      </c>
      <c r="F268" s="1445" t="s">
        <v>1515</v>
      </c>
      <c r="G268" s="1461"/>
      <c r="H268" s="1459">
        <f>H266*H267</f>
        <v>-16414502.000017282</v>
      </c>
      <c r="I268" s="1438"/>
      <c r="K268"/>
      <c r="L268"/>
      <c r="M268"/>
      <c r="N268" s="1435"/>
      <c r="O268" s="1435"/>
      <c r="P268" s="1435"/>
    </row>
    <row r="269" spans="1:16" s="1436" customFormat="1">
      <c r="A269" s="327"/>
      <c r="B269" s="1439"/>
      <c r="C269" s="1440"/>
      <c r="D269" s="1442"/>
      <c r="E269" s="1443"/>
      <c r="F269" s="1437"/>
      <c r="G269" s="1441"/>
      <c r="H269" s="1438"/>
      <c r="I269" s="1438"/>
      <c r="K269"/>
      <c r="L269"/>
      <c r="M269"/>
      <c r="N269" s="1435"/>
      <c r="O269" s="1435"/>
      <c r="P269" s="1435"/>
    </row>
    <row r="270" spans="1:16">
      <c r="A270" s="327">
        <v>137</v>
      </c>
      <c r="B270" s="233" t="s">
        <v>239</v>
      </c>
      <c r="C270" s="233"/>
      <c r="D270" s="331" t="s">
        <v>240</v>
      </c>
      <c r="E270" s="389"/>
      <c r="F270" s="333" t="str">
        <f>"(Line "&amp;A253&amp;" * "&amp;A244&amp;" * (1-("&amp;A239&amp;" / "&amp;A242&amp;")))"</f>
        <v>(Line 132a * 127 * (1-(123 / 126)))</v>
      </c>
      <c r="G270" s="331"/>
      <c r="H270" s="410">
        <f>+H253*(1-H239/H242)*H244</f>
        <v>19649764.226828665</v>
      </c>
      <c r="I270" s="410"/>
      <c r="J270" s="322"/>
      <c r="N270"/>
      <c r="O270"/>
      <c r="P270"/>
    </row>
    <row r="271" spans="1:16">
      <c r="A271" s="327"/>
      <c r="B271" s="335"/>
      <c r="C271" s="365"/>
      <c r="D271" s="407"/>
      <c r="E271" s="411"/>
      <c r="F271" s="402"/>
      <c r="G271" s="402"/>
      <c r="H271" s="412"/>
      <c r="I271" s="633"/>
      <c r="N271"/>
      <c r="O271"/>
      <c r="P271"/>
    </row>
    <row r="272" spans="1:16" ht="16.5" thickBot="1">
      <c r="A272" s="327">
        <v>138</v>
      </c>
      <c r="B272" s="695" t="s">
        <v>241</v>
      </c>
      <c r="C272" s="695"/>
      <c r="D272" s="587"/>
      <c r="E272" s="598"/>
      <c r="F272" s="615" t="str">
        <f>"(Line "&amp;A259&amp;" + "&amp;A268&amp;" +"&amp;A270&amp;")"</f>
        <v>(Line 135 + 136g +137)</v>
      </c>
      <c r="G272" s="701"/>
      <c r="H272" s="1727">
        <f>+H270+H268+H259</f>
        <v>3201842.7983645839</v>
      </c>
      <c r="I272" s="1166"/>
      <c r="N272"/>
      <c r="O272"/>
      <c r="P272"/>
    </row>
    <row r="273" spans="1:17" ht="16.5" thickTop="1">
      <c r="A273" s="335"/>
      <c r="B273" s="335"/>
      <c r="C273" s="395"/>
      <c r="F273" s="417"/>
      <c r="G273" s="418"/>
      <c r="H273" s="419"/>
      <c r="I273" s="419"/>
      <c r="N273"/>
      <c r="O273"/>
      <c r="P273"/>
    </row>
    <row r="274" spans="1:17">
      <c r="A274" s="656" t="s">
        <v>532</v>
      </c>
      <c r="B274" s="657"/>
      <c r="C274" s="658"/>
      <c r="D274" s="386"/>
      <c r="E274" s="659"/>
      <c r="F274" s="324"/>
      <c r="G274" s="324"/>
      <c r="H274" s="387"/>
      <c r="I274" s="575"/>
      <c r="N274"/>
      <c r="O274"/>
      <c r="P274"/>
    </row>
    <row r="275" spans="1:17">
      <c r="A275" s="320"/>
      <c r="B275" s="233"/>
      <c r="C275" s="233"/>
      <c r="D275" s="233"/>
      <c r="N275"/>
      <c r="O275"/>
      <c r="P275"/>
    </row>
    <row r="276" spans="1:17">
      <c r="A276" s="320"/>
      <c r="B276" s="233" t="s">
        <v>533</v>
      </c>
      <c r="C276" s="626"/>
      <c r="D276" s="626"/>
      <c r="N276"/>
      <c r="O276"/>
      <c r="P276"/>
    </row>
    <row r="277" spans="1:17">
      <c r="A277" s="320">
        <v>139</v>
      </c>
      <c r="B277" s="233"/>
      <c r="C277" s="626" t="s">
        <v>534</v>
      </c>
      <c r="D277" s="626"/>
      <c r="E277" s="1099"/>
      <c r="F277" s="333" t="str">
        <f>"(Line "&amp;A81&amp;")"</f>
        <v>(Line 39)</v>
      </c>
      <c r="H277" s="597">
        <f>+H81</f>
        <v>1250151150.3584585</v>
      </c>
      <c r="I277" s="599"/>
      <c r="N277"/>
      <c r="O277"/>
      <c r="P277"/>
    </row>
    <row r="278" spans="1:17">
      <c r="A278" s="335">
        <v>140</v>
      </c>
      <c r="B278" s="233"/>
      <c r="C278" s="626" t="s">
        <v>535</v>
      </c>
      <c r="D278" s="626"/>
      <c r="E278" s="1099"/>
      <c r="F278" s="340" t="str">
        <f>"(Line "&amp;A129&amp;")"</f>
        <v>(Line 58)</v>
      </c>
      <c r="H278" s="597">
        <f>+H129</f>
        <v>-271415852.920636</v>
      </c>
      <c r="I278" s="599"/>
      <c r="N278"/>
      <c r="O278"/>
      <c r="P278"/>
    </row>
    <row r="279" spans="1:17">
      <c r="A279" s="335">
        <v>141</v>
      </c>
      <c r="B279" s="335"/>
      <c r="C279" s="593" t="s">
        <v>444</v>
      </c>
      <c r="D279" s="355"/>
      <c r="E279" s="582"/>
      <c r="F279" s="333" t="str">
        <f>"(Line "&amp;A131&amp;")"</f>
        <v>(Line 59)</v>
      </c>
      <c r="G279" s="359"/>
      <c r="H279" s="646">
        <f>+H131</f>
        <v>978735297.43782258</v>
      </c>
      <c r="I279" s="717"/>
      <c r="N279"/>
      <c r="O279"/>
      <c r="P279"/>
    </row>
    <row r="280" spans="1:17">
      <c r="A280" s="335"/>
      <c r="B280" s="335"/>
      <c r="C280" s="364"/>
      <c r="D280" s="407"/>
      <c r="E280" s="389"/>
      <c r="F280" s="331"/>
      <c r="G280" s="331"/>
      <c r="H280" s="597"/>
      <c r="I280" s="599"/>
      <c r="N280"/>
      <c r="O280"/>
      <c r="P280"/>
    </row>
    <row r="281" spans="1:17">
      <c r="A281" s="335">
        <v>142</v>
      </c>
      <c r="C281" s="364" t="s">
        <v>445</v>
      </c>
      <c r="D281" s="330"/>
      <c r="E281" s="1099"/>
      <c r="F281" s="333" t="str">
        <f>"(Line "&amp;A171&amp;")"</f>
        <v>(Line 85)</v>
      </c>
      <c r="H281" s="597">
        <f>+H171</f>
        <v>46492903.615140311</v>
      </c>
      <c r="I281" s="599"/>
      <c r="N281"/>
      <c r="O281"/>
      <c r="P281"/>
    </row>
    <row r="282" spans="1:17">
      <c r="A282" s="335">
        <v>143</v>
      </c>
      <c r="C282" s="365" t="s">
        <v>536</v>
      </c>
      <c r="D282" s="330"/>
      <c r="E282" s="1099"/>
      <c r="F282" s="333" t="str">
        <f>"(Line "&amp;A196&amp;")"</f>
        <v>(Line 97)</v>
      </c>
      <c r="H282" s="597">
        <f>+H196</f>
        <v>43256868.012186468</v>
      </c>
      <c r="I282" s="599"/>
      <c r="N282"/>
      <c r="O282"/>
      <c r="P282"/>
    </row>
    <row r="283" spans="1:17">
      <c r="A283" s="335">
        <v>144</v>
      </c>
      <c r="B283" s="335"/>
      <c r="C283" s="364" t="s">
        <v>485</v>
      </c>
      <c r="D283" s="407"/>
      <c r="E283" s="389"/>
      <c r="F283" s="333" t="str">
        <f>"(Line "&amp;A202&amp;")"</f>
        <v>(Line 99)</v>
      </c>
      <c r="G283" s="331"/>
      <c r="H283" s="597">
        <f>+H202</f>
        <v>13070119.076989416</v>
      </c>
      <c r="I283" s="599"/>
      <c r="N283"/>
      <c r="O283"/>
      <c r="P283"/>
      <c r="Q283" s="626"/>
    </row>
    <row r="284" spans="1:17">
      <c r="A284" s="335">
        <v>145</v>
      </c>
      <c r="B284" s="335"/>
      <c r="C284" s="697" t="s">
        <v>537</v>
      </c>
      <c r="D284" s="407"/>
      <c r="E284" s="389"/>
      <c r="F284" s="333" t="str">
        <f>"(Line "&amp;A244&amp;")"</f>
        <v>(Line 127)</v>
      </c>
      <c r="G284" s="331"/>
      <c r="H284" s="597">
        <f>+H244</f>
        <v>75164346.288213998</v>
      </c>
      <c r="I284" s="599"/>
      <c r="N284"/>
      <c r="O284"/>
      <c r="P284"/>
    </row>
    <row r="285" spans="1:17">
      <c r="A285" s="335">
        <v>146</v>
      </c>
      <c r="B285" s="335"/>
      <c r="C285" s="697" t="s">
        <v>538</v>
      </c>
      <c r="D285" s="407"/>
      <c r="E285" s="389"/>
      <c r="F285" s="333" t="str">
        <f>"(Line "&amp;A272&amp;")"</f>
        <v>(Line 138)</v>
      </c>
      <c r="G285" s="331"/>
      <c r="H285" s="597">
        <f>+H272</f>
        <v>3201842.7983645839</v>
      </c>
      <c r="I285" s="599"/>
      <c r="N285"/>
      <c r="O285"/>
      <c r="P285"/>
    </row>
    <row r="286" spans="1:17" ht="16.5" thickBot="1">
      <c r="A286" s="335"/>
      <c r="B286" s="335"/>
      <c r="C286" s="697"/>
      <c r="D286" s="407"/>
      <c r="E286" s="389"/>
      <c r="F286" s="331"/>
      <c r="G286" s="331"/>
      <c r="H286" s="597"/>
      <c r="I286" s="599"/>
      <c r="N286"/>
      <c r="O286"/>
      <c r="P286"/>
    </row>
    <row r="287" spans="1:17" ht="18.75" thickBot="1">
      <c r="A287" s="702">
        <v>147</v>
      </c>
      <c r="B287" s="703"/>
      <c r="C287" s="704" t="s">
        <v>539</v>
      </c>
      <c r="D287" s="705"/>
      <c r="E287" s="706"/>
      <c r="F287" s="707" t="str">
        <f>"(Sum Lines "&amp;A281&amp;" to "&amp;A285&amp;")"</f>
        <v>(Sum Lines 142 to 146)</v>
      </c>
      <c r="G287" s="708"/>
      <c r="H287" s="709">
        <f>SUM(H285,H284,H283,H282,H281)</f>
        <v>181186079.79089478</v>
      </c>
      <c r="I287" s="717"/>
      <c r="J287" s="710"/>
      <c r="N287"/>
      <c r="O287"/>
      <c r="P287"/>
    </row>
    <row r="288" spans="1:17" ht="18">
      <c r="A288" s="711"/>
      <c r="B288" s="711"/>
      <c r="C288" s="712"/>
      <c r="D288" s="713"/>
      <c r="E288" s="714"/>
      <c r="F288" s="333"/>
      <c r="G288" s="715"/>
      <c r="H288" s="716"/>
      <c r="I288" s="717"/>
      <c r="N288"/>
      <c r="O288"/>
      <c r="P288"/>
    </row>
    <row r="289" spans="1:16" ht="18">
      <c r="A289" s="711"/>
      <c r="B289" s="365" t="s">
        <v>113</v>
      </c>
      <c r="C289" s="712"/>
      <c r="D289" s="713"/>
      <c r="E289" s="714"/>
      <c r="F289" s="333"/>
      <c r="G289" s="715"/>
      <c r="H289" s="716"/>
      <c r="I289" s="717"/>
      <c r="N289"/>
      <c r="O289"/>
      <c r="P289"/>
    </row>
    <row r="290" spans="1:16" ht="18">
      <c r="A290" s="411">
        <v>148</v>
      </c>
      <c r="B290" s="411"/>
      <c r="C290" s="364" t="s">
        <v>403</v>
      </c>
      <c r="D290" s="713"/>
      <c r="E290" s="714"/>
      <c r="F290" s="333" t="str">
        <f>"(Line "&amp;A46&amp;")"</f>
        <v>(Line 19)</v>
      </c>
      <c r="G290" s="715"/>
      <c r="H290" s="717">
        <f>+H46</f>
        <v>1759323170.5161541</v>
      </c>
      <c r="I290" s="717"/>
      <c r="N290"/>
      <c r="O290"/>
      <c r="P290"/>
    </row>
    <row r="291" spans="1:16" ht="18">
      <c r="A291" s="411">
        <v>149</v>
      </c>
      <c r="B291" s="411"/>
      <c r="C291" s="718" t="s">
        <v>540</v>
      </c>
      <c r="D291" s="719"/>
      <c r="E291" s="616" t="str">
        <f>"(Note "&amp;B$349&amp;")"</f>
        <v>(Note M)</v>
      </c>
      <c r="F291" s="349" t="s">
        <v>427</v>
      </c>
      <c r="G291" s="715"/>
      <c r="H291" s="720">
        <f>+'5 - Cost Support 1'!G80</f>
        <v>0</v>
      </c>
      <c r="I291" s="717"/>
      <c r="N291"/>
      <c r="O291"/>
      <c r="P291"/>
    </row>
    <row r="292" spans="1:16" ht="18">
      <c r="A292" s="411">
        <v>150</v>
      </c>
      <c r="B292" s="411"/>
      <c r="C292" s="364" t="s">
        <v>541</v>
      </c>
      <c r="D292" s="713"/>
      <c r="E292" s="721"/>
      <c r="F292" s="334" t="str">
        <f>"(Line "&amp;A290&amp;" - "&amp;A291&amp;")"</f>
        <v>(Line 148 - 149)</v>
      </c>
      <c r="G292" s="715"/>
      <c r="H292" s="717">
        <f>+H290-H291</f>
        <v>1759323170.5161541</v>
      </c>
      <c r="I292" s="717"/>
      <c r="N292"/>
      <c r="O292"/>
      <c r="P292"/>
    </row>
    <row r="293" spans="1:16" ht="18">
      <c r="A293" s="411">
        <v>151</v>
      </c>
      <c r="B293" s="411"/>
      <c r="C293" s="364" t="s">
        <v>542</v>
      </c>
      <c r="D293" s="713"/>
      <c r="E293" s="714"/>
      <c r="F293" s="334" t="str">
        <f>"(Line "&amp;A292&amp;" / "&amp;A290&amp;")"</f>
        <v>(Line 150 / 148)</v>
      </c>
      <c r="G293" s="715"/>
      <c r="H293" s="722">
        <f>+H292/H290</f>
        <v>1</v>
      </c>
      <c r="I293" s="722"/>
      <c r="N293"/>
      <c r="O293"/>
      <c r="P293"/>
    </row>
    <row r="294" spans="1:16" ht="18">
      <c r="A294" s="411">
        <v>152</v>
      </c>
      <c r="B294" s="411"/>
      <c r="C294" s="718" t="s">
        <v>539</v>
      </c>
      <c r="D294" s="719"/>
      <c r="E294" s="723"/>
      <c r="F294" s="349" t="str">
        <f>"(Line "&amp;A287&amp;")"</f>
        <v>(Line 147)</v>
      </c>
      <c r="G294" s="715"/>
      <c r="H294" s="720">
        <f>+H287</f>
        <v>181186079.79089478</v>
      </c>
      <c r="I294" s="717"/>
      <c r="N294"/>
      <c r="O294"/>
      <c r="P294"/>
    </row>
    <row r="295" spans="1:16" ht="18">
      <c r="A295" s="411">
        <v>153</v>
      </c>
      <c r="B295" s="411"/>
      <c r="C295" s="364" t="s">
        <v>543</v>
      </c>
      <c r="D295" s="713"/>
      <c r="E295" s="714"/>
      <c r="F295" s="334" t="str">
        <f>"(Line "&amp;A293&amp;" * "&amp;A294&amp;")"</f>
        <v>(Line 151 * 152)</v>
      </c>
      <c r="G295" s="715"/>
      <c r="H295" s="717">
        <f>+H294*H293</f>
        <v>181186079.79089478</v>
      </c>
      <c r="I295" s="717"/>
      <c r="N295"/>
      <c r="O295"/>
      <c r="P295"/>
    </row>
    <row r="296" spans="1:16">
      <c r="A296" s="620"/>
      <c r="B296" s="335"/>
      <c r="C296" s="364"/>
      <c r="D296" s="407"/>
      <c r="E296" s="389"/>
      <c r="F296" s="331"/>
      <c r="G296" s="331"/>
      <c r="H296" s="589"/>
      <c r="I296" s="1170"/>
      <c r="N296"/>
      <c r="O296"/>
      <c r="P296"/>
    </row>
    <row r="297" spans="1:16">
      <c r="A297" s="620"/>
      <c r="B297" s="336" t="s">
        <v>544</v>
      </c>
      <c r="C297" s="364"/>
      <c r="D297" s="407"/>
      <c r="E297" s="389"/>
      <c r="F297" s="331"/>
      <c r="G297" s="331"/>
      <c r="H297" s="589"/>
      <c r="I297" s="1170"/>
      <c r="N297"/>
      <c r="O297"/>
      <c r="P297"/>
    </row>
    <row r="298" spans="1:16">
      <c r="A298" s="327">
        <v>154</v>
      </c>
      <c r="B298" s="233"/>
      <c r="C298" s="336" t="s">
        <v>545</v>
      </c>
      <c r="D298" s="407"/>
      <c r="E298" s="389"/>
      <c r="F298" s="331" t="s">
        <v>546</v>
      </c>
      <c r="G298" s="331"/>
      <c r="H298" s="410">
        <f>+'3 - Revenue Credits'!G25</f>
        <v>7631728.9909684658</v>
      </c>
      <c r="I298" s="410"/>
      <c r="N298"/>
      <c r="O298"/>
      <c r="P298"/>
    </row>
    <row r="299" spans="1:16">
      <c r="A299" s="327">
        <v>155</v>
      </c>
      <c r="B299" s="233"/>
      <c r="C299" s="336" t="s">
        <v>547</v>
      </c>
      <c r="D299" s="407"/>
      <c r="E299" s="590" t="str">
        <f>"(Note "&amp;B$350&amp;")"</f>
        <v>(Note N)</v>
      </c>
      <c r="F299" s="331" t="s">
        <v>451</v>
      </c>
      <c r="G299" s="331"/>
      <c r="H299" s="724">
        <f>+'5 - Cost Support 1'!G180</f>
        <v>0</v>
      </c>
      <c r="I299" s="410"/>
      <c r="N299"/>
      <c r="O299"/>
      <c r="P299"/>
    </row>
    <row r="300" spans="1:16" ht="16.5" thickBot="1">
      <c r="A300" s="335"/>
      <c r="B300" s="335"/>
      <c r="C300" s="574"/>
      <c r="D300" s="574"/>
      <c r="E300" s="1099"/>
      <c r="F300" s="331"/>
      <c r="G300" s="331"/>
      <c r="H300" s="589"/>
      <c r="I300" s="1170"/>
      <c r="N300"/>
      <c r="O300"/>
      <c r="P300"/>
    </row>
    <row r="301" spans="1:16" s="409" customFormat="1" ht="18.75" thickBot="1">
      <c r="A301" s="702">
        <v>156</v>
      </c>
      <c r="B301" s="725"/>
      <c r="C301" s="726" t="s">
        <v>548</v>
      </c>
      <c r="D301" s="727"/>
      <c r="E301" s="728"/>
      <c r="F301" s="707" t="str">
        <f>"(Line "&amp;A295&amp;" - "&amp;A298&amp;" + "&amp;A299&amp;")"</f>
        <v>(Line 153 - 154 + 155)</v>
      </c>
      <c r="G301" s="708"/>
      <c r="H301" s="709">
        <f>+H295-H298+H299</f>
        <v>173554350.79992631</v>
      </c>
      <c r="I301" s="717"/>
      <c r="K301"/>
      <c r="L301"/>
      <c r="M301"/>
      <c r="N301"/>
      <c r="O301"/>
      <c r="P301"/>
    </row>
    <row r="302" spans="1:16">
      <c r="A302" s="620"/>
      <c r="B302" s="335"/>
      <c r="C302" s="574"/>
      <c r="D302" s="574"/>
      <c r="F302" s="331"/>
      <c r="G302" s="331"/>
      <c r="H302" s="589"/>
      <c r="I302" s="1170"/>
      <c r="N302"/>
      <c r="O302"/>
      <c r="P302"/>
    </row>
    <row r="303" spans="1:16">
      <c r="A303" s="327"/>
      <c r="B303" s="574" t="s">
        <v>549</v>
      </c>
      <c r="C303" s="321"/>
      <c r="D303" s="574"/>
      <c r="F303" s="331"/>
      <c r="G303" s="331"/>
      <c r="H303" s="589"/>
      <c r="I303" s="1170"/>
      <c r="N303"/>
      <c r="O303"/>
      <c r="P303"/>
    </row>
    <row r="304" spans="1:16">
      <c r="A304" s="327">
        <v>157</v>
      </c>
      <c r="B304" s="327"/>
      <c r="C304" s="574" t="s">
        <v>548</v>
      </c>
      <c r="D304" s="574"/>
      <c r="E304" s="1099"/>
      <c r="F304" s="331" t="str">
        <f>"(Line "&amp;A301&amp;")"</f>
        <v>(Line 156)</v>
      </c>
      <c r="G304" s="331"/>
      <c r="H304" s="729">
        <f>+H301</f>
        <v>173554350.79992631</v>
      </c>
      <c r="I304" s="410"/>
      <c r="N304"/>
      <c r="O304"/>
      <c r="P304"/>
    </row>
    <row r="305" spans="1:16">
      <c r="A305" s="327">
        <v>158</v>
      </c>
      <c r="B305" s="327"/>
      <c r="C305" s="574" t="s">
        <v>550</v>
      </c>
      <c r="D305" s="574"/>
      <c r="E305" s="1099"/>
      <c r="F305" s="331" t="str">
        <f>"(Line "&amp;A46&amp;" - "&amp;A66&amp;")"</f>
        <v>(Line 19 - 30)</v>
      </c>
      <c r="G305" s="331"/>
      <c r="H305" s="729">
        <f>+H46-H66</f>
        <v>1216778387.2084618</v>
      </c>
      <c r="I305" s="410"/>
      <c r="N305"/>
      <c r="O305"/>
      <c r="P305"/>
    </row>
    <row r="306" spans="1:16">
      <c r="A306" s="327">
        <v>159</v>
      </c>
      <c r="B306" s="327"/>
      <c r="C306" s="574" t="s">
        <v>551</v>
      </c>
      <c r="D306" s="574"/>
      <c r="E306" s="1099"/>
      <c r="F306" s="331" t="str">
        <f>"(Line "&amp;A304&amp;" / "&amp;A305&amp;")"</f>
        <v>(Line 157 / 158)</v>
      </c>
      <c r="G306" s="331"/>
      <c r="H306" s="589">
        <f>+H304/H305</f>
        <v>0.14263431420580658</v>
      </c>
      <c r="I306" s="1170"/>
      <c r="N306"/>
      <c r="O306"/>
      <c r="P306"/>
    </row>
    <row r="307" spans="1:16">
      <c r="A307" s="327">
        <v>160</v>
      </c>
      <c r="B307" s="327"/>
      <c r="C307" s="574" t="s">
        <v>552</v>
      </c>
      <c r="D307" s="574"/>
      <c r="E307" s="1099"/>
      <c r="F307" s="331" t="str">
        <f>"(Line "&amp;A304&amp;" - "&amp;A177&amp;") / "&amp;A305</f>
        <v>(Line 157 - 86) / 158</v>
      </c>
      <c r="G307" s="331"/>
      <c r="H307" s="589">
        <f>(H304-H177)/H305</f>
        <v>0.10963186411123545</v>
      </c>
      <c r="I307" s="1170"/>
      <c r="N307"/>
      <c r="O307"/>
      <c r="P307"/>
    </row>
    <row r="308" spans="1:16">
      <c r="A308" s="327">
        <v>161</v>
      </c>
      <c r="B308" s="327"/>
      <c r="C308" s="574" t="s">
        <v>553</v>
      </c>
      <c r="D308" s="574"/>
      <c r="E308" s="577"/>
      <c r="F308" s="354" t="str">
        <f>"(Line "&amp;A304&amp;" - "&amp;A177&amp;" - "&amp;A244&amp;" - "&amp;A272&amp;") / "&amp;A305</f>
        <v>(Line 157 - 86 - 127 - 138) / 158</v>
      </c>
      <c r="G308" s="331"/>
      <c r="H308" s="589">
        <f>(H304-H177-H244-H272)/H305</f>
        <v>4.5227211702536248E-2</v>
      </c>
      <c r="I308" s="1170"/>
      <c r="N308"/>
      <c r="O308"/>
      <c r="P308"/>
    </row>
    <row r="309" spans="1:16">
      <c r="A309" s="327"/>
      <c r="B309" s="327"/>
      <c r="C309" s="574"/>
      <c r="D309" s="574"/>
      <c r="E309" s="1099"/>
      <c r="F309" s="331"/>
      <c r="G309" s="331"/>
      <c r="H309" s="589"/>
      <c r="I309" s="1170"/>
      <c r="N309"/>
      <c r="O309"/>
      <c r="P309"/>
    </row>
    <row r="310" spans="1:16">
      <c r="A310" s="327"/>
      <c r="B310" s="327"/>
      <c r="C310" s="574"/>
      <c r="D310" s="574"/>
      <c r="E310" s="1099"/>
      <c r="F310" s="331"/>
      <c r="G310" s="331"/>
      <c r="H310" s="730"/>
      <c r="I310" s="1181"/>
      <c r="N310"/>
      <c r="O310"/>
      <c r="P310"/>
    </row>
    <row r="311" spans="1:16">
      <c r="A311" s="327"/>
      <c r="B311" s="574" t="s">
        <v>554</v>
      </c>
      <c r="C311" s="574"/>
      <c r="D311" s="574"/>
      <c r="E311" s="1099"/>
      <c r="F311" s="331"/>
      <c r="G311" s="331"/>
      <c r="H311" s="589"/>
      <c r="I311" s="1170"/>
      <c r="N311"/>
      <c r="O311"/>
      <c r="P311"/>
    </row>
    <row r="312" spans="1:16">
      <c r="A312" s="327">
        <v>162</v>
      </c>
      <c r="B312" s="327"/>
      <c r="C312" s="574" t="s">
        <v>555</v>
      </c>
      <c r="D312" s="574"/>
      <c r="E312" s="1099"/>
      <c r="F312" s="354" t="str">
        <f>"(Line "&amp;A301&amp;" - "&amp;A284&amp;" - "&amp;A285&amp;")"</f>
        <v>(Line 156 - 145 - 146)</v>
      </c>
      <c r="G312" s="331"/>
      <c r="H312" s="729">
        <f>+H301-H284-H285</f>
        <v>95188161.713347733</v>
      </c>
      <c r="I312" s="410"/>
      <c r="N312"/>
      <c r="O312"/>
      <c r="P312"/>
    </row>
    <row r="313" spans="1:16">
      <c r="A313" s="327">
        <v>163</v>
      </c>
      <c r="B313" s="327"/>
      <c r="C313" s="574" t="s">
        <v>556</v>
      </c>
      <c r="D313" s="574"/>
      <c r="E313" s="1099"/>
      <c r="F313" s="354" t="s">
        <v>557</v>
      </c>
      <c r="G313" s="331"/>
      <c r="H313" s="410">
        <f>+'4 - 100 Basis Pt ROE'!I9</f>
        <v>85157226.270745292</v>
      </c>
      <c r="I313" s="410"/>
      <c r="N313"/>
      <c r="O313"/>
      <c r="P313"/>
    </row>
    <row r="314" spans="1:16">
      <c r="A314" s="327">
        <v>164</v>
      </c>
      <c r="B314" s="327"/>
      <c r="C314" s="574" t="s">
        <v>558</v>
      </c>
      <c r="D314" s="574"/>
      <c r="E314" s="1099"/>
      <c r="F314" s="354" t="str">
        <f>"(Line "&amp;A312&amp;" + "&amp;A313&amp;")"</f>
        <v>(Line 162 + 163)</v>
      </c>
      <c r="G314" s="331"/>
      <c r="H314" s="729">
        <f>+H313+H312</f>
        <v>180345387.98409301</v>
      </c>
      <c r="I314" s="410"/>
      <c r="N314"/>
      <c r="O314"/>
      <c r="P314"/>
    </row>
    <row r="315" spans="1:16">
      <c r="A315" s="327">
        <v>165</v>
      </c>
      <c r="B315" s="327"/>
      <c r="C315" s="574" t="s">
        <v>550</v>
      </c>
      <c r="D315" s="574"/>
      <c r="E315" s="1099"/>
      <c r="F315" s="331" t="str">
        <f>"(Line "&amp;A46&amp;" - "&amp;A66&amp;")"</f>
        <v>(Line 19 - 30)</v>
      </c>
      <c r="G315" s="331"/>
      <c r="H315" s="729">
        <f>+H305</f>
        <v>1216778387.2084618</v>
      </c>
      <c r="I315" s="410"/>
      <c r="N315"/>
      <c r="O315"/>
      <c r="P315"/>
    </row>
    <row r="316" spans="1:16">
      <c r="A316" s="327">
        <v>166</v>
      </c>
      <c r="B316" s="327"/>
      <c r="C316" s="574" t="s">
        <v>559</v>
      </c>
      <c r="D316" s="574"/>
      <c r="E316" s="1099"/>
      <c r="F316" s="331" t="str">
        <f>"(Line "&amp;A314&amp;" / "&amp;A315&amp;")"</f>
        <v>(Line 164 / 165)</v>
      </c>
      <c r="G316" s="331"/>
      <c r="H316" s="589">
        <f>+H314/H315</f>
        <v>0.14821547611298569</v>
      </c>
      <c r="I316" s="1170"/>
      <c r="N316"/>
      <c r="O316"/>
      <c r="P316"/>
    </row>
    <row r="317" spans="1:16">
      <c r="A317" s="327">
        <v>167</v>
      </c>
      <c r="B317" s="327"/>
      <c r="C317" s="574" t="s">
        <v>560</v>
      </c>
      <c r="D317" s="574"/>
      <c r="E317" s="1099"/>
      <c r="F317" s="331" t="str">
        <f>"(Line "&amp;A313&amp;" - "&amp;A177&amp;") / "&amp;A315</f>
        <v>(Line 163 - 86) / 165</v>
      </c>
      <c r="G317" s="331"/>
      <c r="H317" s="589">
        <f>(H314-H177)/H315</f>
        <v>0.11521302601841456</v>
      </c>
      <c r="I317" s="1170"/>
      <c r="N317"/>
      <c r="O317"/>
      <c r="P317"/>
    </row>
    <row r="318" spans="1:16">
      <c r="A318" s="327"/>
      <c r="B318" s="327"/>
      <c r="C318" s="574"/>
      <c r="D318" s="574"/>
      <c r="E318" s="731"/>
      <c r="F318" s="331"/>
      <c r="G318" s="331"/>
      <c r="H318" s="589"/>
      <c r="I318" s="1170"/>
      <c r="N318"/>
      <c r="O318"/>
      <c r="P318"/>
    </row>
    <row r="319" spans="1:16">
      <c r="A319" s="327">
        <v>168</v>
      </c>
      <c r="B319" s="327"/>
      <c r="C319" s="574" t="s">
        <v>548</v>
      </c>
      <c r="D319" s="574"/>
      <c r="E319" s="577"/>
      <c r="F319" s="331" t="str">
        <f>"(Line "&amp;A301&amp;")"</f>
        <v>(Line 156)</v>
      </c>
      <c r="G319" s="331"/>
      <c r="H319" s="729">
        <f>+H301</f>
        <v>173554350.79992631</v>
      </c>
      <c r="I319" s="410"/>
      <c r="J319" s="732"/>
      <c r="N319"/>
      <c r="O319"/>
      <c r="P319"/>
    </row>
    <row r="320" spans="1:16">
      <c r="A320" s="327">
        <v>169</v>
      </c>
      <c r="B320" s="327"/>
      <c r="C320" s="574" t="s">
        <v>561</v>
      </c>
      <c r="D320" s="574"/>
      <c r="E320" s="389"/>
      <c r="F320" s="353" t="s">
        <v>914</v>
      </c>
      <c r="G320" s="331"/>
      <c r="H320" s="410"/>
      <c r="I320" s="410"/>
      <c r="J320" s="732"/>
      <c r="N320"/>
      <c r="O320"/>
      <c r="P320"/>
    </row>
    <row r="321" spans="1:186">
      <c r="A321" s="327">
        <v>170</v>
      </c>
      <c r="B321" s="327"/>
      <c r="C321" s="574" t="s">
        <v>562</v>
      </c>
      <c r="D321" s="574"/>
      <c r="E321" s="389"/>
      <c r="F321" s="353" t="s">
        <v>1038</v>
      </c>
      <c r="G321" s="331"/>
      <c r="H321" s="410">
        <f>+'7 - Cap Add WS'!BV61-'7 - Cap Add WS'!BW60</f>
        <v>950118.14217935503</v>
      </c>
      <c r="I321" s="410"/>
      <c r="J321" s="321"/>
      <c r="N321"/>
      <c r="O321"/>
      <c r="P321"/>
    </row>
    <row r="322" spans="1:186">
      <c r="A322" s="327">
        <v>171</v>
      </c>
      <c r="B322" s="327"/>
      <c r="C322" s="407" t="s">
        <v>563</v>
      </c>
      <c r="D322" s="733"/>
      <c r="E322" s="590"/>
      <c r="F322" s="407" t="s">
        <v>564</v>
      </c>
      <c r="G322" s="331"/>
      <c r="H322" s="734">
        <f>+'5 - Cost Support 1'!G189</f>
        <v>0</v>
      </c>
      <c r="I322" s="734"/>
      <c r="J322" s="321"/>
      <c r="N322"/>
      <c r="O322"/>
      <c r="P322"/>
      <c r="GD322" s="233">
        <v>171</v>
      </c>
    </row>
    <row r="323" spans="1:186">
      <c r="A323" s="327" t="s">
        <v>177</v>
      </c>
      <c r="B323" s="327"/>
      <c r="C323" s="407" t="s">
        <v>174</v>
      </c>
      <c r="D323" s="733"/>
      <c r="E323" s="590"/>
      <c r="F323" s="407" t="s">
        <v>564</v>
      </c>
      <c r="G323" s="331"/>
      <c r="H323" s="734">
        <v>0</v>
      </c>
      <c r="I323" s="734"/>
      <c r="N323"/>
      <c r="O323"/>
      <c r="P323"/>
    </row>
    <row r="324" spans="1:186">
      <c r="A324" s="327">
        <v>172</v>
      </c>
      <c r="B324" s="327"/>
      <c r="C324" s="574" t="s">
        <v>565</v>
      </c>
      <c r="D324" s="733"/>
      <c r="E324" s="577"/>
      <c r="F324" s="331" t="str">
        <f>"(Line "&amp;A319&amp;" + "&amp;A320&amp;" + "&amp;170&amp;" + "&amp;A322&amp;" + "&amp;A323&amp;")"</f>
        <v>(Line 168 + 169 + 170 + 171 + 171a)</v>
      </c>
      <c r="G324" s="331"/>
      <c r="H324" s="729">
        <f>SUM(H319:H323)</f>
        <v>174504468.94210565</v>
      </c>
      <c r="I324" s="410"/>
      <c r="J324" s="732"/>
      <c r="N324"/>
      <c r="O324"/>
      <c r="P324"/>
    </row>
    <row r="325" spans="1:186">
      <c r="A325" s="327"/>
      <c r="B325" s="335"/>
      <c r="C325" s="574"/>
      <c r="D325" s="574"/>
      <c r="E325" s="1099"/>
      <c r="F325" s="331"/>
      <c r="G325" s="331"/>
      <c r="H325" s="735"/>
      <c r="I325" s="1027"/>
      <c r="J325" s="321"/>
      <c r="N325"/>
      <c r="O325"/>
      <c r="P325"/>
    </row>
    <row r="326" spans="1:186">
      <c r="A326" s="327"/>
      <c r="B326" s="336" t="s">
        <v>151</v>
      </c>
      <c r="C326" s="574"/>
      <c r="D326" s="574"/>
      <c r="E326" s="1099"/>
      <c r="F326" s="331"/>
      <c r="G326" s="331"/>
      <c r="H326" s="589"/>
      <c r="I326" s="1170"/>
      <c r="N326"/>
      <c r="O326"/>
      <c r="P326"/>
    </row>
    <row r="327" spans="1:186">
      <c r="A327" s="327">
        <v>173</v>
      </c>
      <c r="B327" s="335"/>
      <c r="C327" s="331" t="s">
        <v>566</v>
      </c>
      <c r="D327" s="736"/>
      <c r="E327" s="590" t="str">
        <f>"(Note "&amp;B$348&amp;")"</f>
        <v>(Note L)</v>
      </c>
      <c r="F327" s="574" t="s">
        <v>451</v>
      </c>
      <c r="G327" s="574"/>
      <c r="H327" s="737">
        <v>6412</v>
      </c>
      <c r="I327" s="1182"/>
      <c r="J327" s="321"/>
      <c r="N327"/>
      <c r="O327"/>
      <c r="P327"/>
    </row>
    <row r="328" spans="1:186">
      <c r="A328" s="327">
        <v>174</v>
      </c>
      <c r="B328" s="335"/>
      <c r="C328" s="331" t="s">
        <v>567</v>
      </c>
      <c r="D328" s="738"/>
      <c r="E328" s="739"/>
      <c r="F328" s="333" t="str">
        <f>"(Line "&amp;A324&amp;" / "&amp;A327&amp;")"</f>
        <v>(Line 172 / 173)</v>
      </c>
      <c r="G328" s="740"/>
      <c r="H328" s="1719">
        <f>+H324/H327</f>
        <v>27215.294594838684</v>
      </c>
      <c r="I328" s="1183"/>
      <c r="N328"/>
      <c r="O328"/>
      <c r="P328"/>
    </row>
    <row r="329" spans="1:186" ht="16.5" thickBot="1">
      <c r="A329" s="335"/>
      <c r="B329" s="335"/>
      <c r="C329" s="736"/>
      <c r="D329" s="736"/>
      <c r="E329" s="742"/>
      <c r="F329" s="740"/>
      <c r="G329" s="740"/>
      <c r="H329" s="741"/>
      <c r="I329" s="1183"/>
      <c r="N329"/>
      <c r="O329"/>
      <c r="P329"/>
    </row>
    <row r="330" spans="1:186" s="626" customFormat="1" ht="18.75" thickBot="1">
      <c r="A330" s="702">
        <v>175</v>
      </c>
      <c r="B330" s="703"/>
      <c r="C330" s="726" t="s">
        <v>568</v>
      </c>
      <c r="D330" s="703"/>
      <c r="E330" s="703"/>
      <c r="F330" s="703" t="s">
        <v>978</v>
      </c>
      <c r="G330" s="703"/>
      <c r="H330" s="743">
        <f>+H328</f>
        <v>27215.294594838684</v>
      </c>
      <c r="I330" s="1184"/>
      <c r="K330"/>
      <c r="L330"/>
      <c r="M330"/>
      <c r="N330"/>
      <c r="O330"/>
      <c r="P330"/>
    </row>
    <row r="331" spans="1:186" s="626" customFormat="1">
      <c r="A331" s="744"/>
      <c r="B331" s="399"/>
      <c r="C331" s="745"/>
      <c r="D331" s="745"/>
      <c r="E331" s="746"/>
      <c r="F331" s="740"/>
      <c r="G331" s="740"/>
      <c r="H331" s="747"/>
      <c r="I331" s="1185"/>
      <c r="K331"/>
      <c r="L331"/>
      <c r="M331"/>
      <c r="N331"/>
      <c r="O331"/>
      <c r="P331"/>
    </row>
    <row r="332" spans="1:186" s="626" customFormat="1" ht="18">
      <c r="A332" s="748"/>
      <c r="B332" s="406" t="s">
        <v>381</v>
      </c>
      <c r="C332" s="745"/>
      <c r="D332" s="745"/>
      <c r="E332" s="746"/>
      <c r="F332" s="740"/>
      <c r="G332" s="740"/>
      <c r="H332" s="747"/>
      <c r="I332" s="1185"/>
      <c r="K332"/>
      <c r="L332"/>
      <c r="M332"/>
      <c r="N332"/>
      <c r="O332"/>
      <c r="P332"/>
    </row>
    <row r="333" spans="1:186" s="626" customFormat="1">
      <c r="A333" s="749"/>
      <c r="B333" s="1815" t="s">
        <v>9</v>
      </c>
      <c r="C333" s="1469" t="s">
        <v>569</v>
      </c>
      <c r="D333" s="1469"/>
      <c r="E333" s="1823"/>
      <c r="F333" s="1824"/>
      <c r="G333" s="740"/>
      <c r="H333" s="747"/>
      <c r="I333" s="1185"/>
      <c r="K333"/>
      <c r="L333"/>
      <c r="M333"/>
      <c r="N333"/>
      <c r="O333"/>
      <c r="P333"/>
    </row>
    <row r="334" spans="1:186" s="626" customFormat="1">
      <c r="A334" s="750"/>
      <c r="B334" s="1815" t="s">
        <v>10</v>
      </c>
      <c r="C334" s="326" t="s">
        <v>570</v>
      </c>
      <c r="D334" s="1469"/>
      <c r="E334" s="1823"/>
      <c r="F334" s="1824"/>
      <c r="G334" s="740"/>
      <c r="H334" s="747"/>
      <c r="I334" s="1185"/>
      <c r="K334"/>
      <c r="L334"/>
      <c r="M334"/>
      <c r="N334"/>
      <c r="O334"/>
      <c r="P334"/>
    </row>
    <row r="335" spans="1:186" s="626" customFormat="1">
      <c r="A335" s="750"/>
      <c r="B335" s="1815"/>
      <c r="C335" s="326" t="s">
        <v>571</v>
      </c>
      <c r="D335" s="1469"/>
      <c r="E335" s="1823"/>
      <c r="F335" s="1824"/>
      <c r="G335" s="740"/>
      <c r="H335" s="751"/>
      <c r="I335" s="1168"/>
      <c r="K335"/>
      <c r="L335"/>
      <c r="M335"/>
      <c r="N335"/>
      <c r="O335"/>
      <c r="P335"/>
    </row>
    <row r="336" spans="1:186" s="626" customFormat="1">
      <c r="A336" s="750"/>
      <c r="B336" s="1815"/>
      <c r="C336" s="326" t="s">
        <v>1035</v>
      </c>
      <c r="D336" s="1469"/>
      <c r="E336" s="1823"/>
      <c r="F336" s="1824"/>
      <c r="G336" s="740"/>
      <c r="H336" s="747"/>
      <c r="I336" s="1185"/>
      <c r="K336"/>
      <c r="L336"/>
      <c r="M336"/>
      <c r="N336"/>
      <c r="O336"/>
      <c r="P336"/>
    </row>
    <row r="337" spans="1:16" s="626" customFormat="1">
      <c r="A337" s="750"/>
      <c r="B337" s="1815"/>
      <c r="C337" s="326" t="s">
        <v>572</v>
      </c>
      <c r="D337" s="1469"/>
      <c r="E337" s="1823"/>
      <c r="F337" s="1824"/>
      <c r="G337" s="740"/>
      <c r="H337" s="747"/>
      <c r="I337" s="1185"/>
      <c r="K337"/>
      <c r="L337"/>
      <c r="M337"/>
      <c r="N337"/>
      <c r="O337"/>
      <c r="P337"/>
    </row>
    <row r="338" spans="1:16" s="626" customFormat="1">
      <c r="A338" s="750"/>
      <c r="B338" s="1815"/>
      <c r="C338" s="326" t="s">
        <v>573</v>
      </c>
      <c r="D338" s="1469"/>
      <c r="E338" s="1823"/>
      <c r="F338" s="1824"/>
      <c r="G338" s="740"/>
      <c r="H338" s="747"/>
      <c r="I338" s="1185"/>
      <c r="K338"/>
      <c r="L338"/>
      <c r="M338"/>
      <c r="N338"/>
      <c r="O338"/>
      <c r="P338"/>
    </row>
    <row r="339" spans="1:16" s="626" customFormat="1">
      <c r="A339" s="750"/>
      <c r="B339" s="1815" t="s">
        <v>11</v>
      </c>
      <c r="C339" s="326" t="s">
        <v>574</v>
      </c>
      <c r="D339" s="1469"/>
      <c r="E339" s="1823"/>
      <c r="F339" s="1824"/>
      <c r="G339" s="740"/>
      <c r="H339" s="747"/>
      <c r="I339" s="1185"/>
      <c r="K339"/>
      <c r="L339"/>
      <c r="M339"/>
      <c r="N339"/>
      <c r="O339"/>
      <c r="P339"/>
    </row>
    <row r="340" spans="1:16" s="626" customFormat="1">
      <c r="A340" s="750"/>
      <c r="B340" s="1815" t="s">
        <v>14</v>
      </c>
      <c r="C340" s="1469" t="s">
        <v>575</v>
      </c>
      <c r="D340" s="1469"/>
      <c r="E340" s="1823"/>
      <c r="F340" s="1824"/>
      <c r="G340" s="740"/>
      <c r="H340" s="747"/>
      <c r="I340" s="1185"/>
      <c r="K340"/>
      <c r="L340"/>
      <c r="M340"/>
      <c r="N340"/>
      <c r="O340"/>
      <c r="P340"/>
    </row>
    <row r="341" spans="1:16" s="626" customFormat="1">
      <c r="A341" s="750"/>
      <c r="B341" s="1815" t="s">
        <v>166</v>
      </c>
      <c r="C341" s="1469" t="s">
        <v>576</v>
      </c>
      <c r="D341" s="1469"/>
      <c r="E341" s="1823"/>
      <c r="F341" s="1824"/>
      <c r="G341" s="740"/>
      <c r="H341" s="747"/>
      <c r="I341" s="1185"/>
      <c r="K341"/>
      <c r="L341"/>
      <c r="M341"/>
      <c r="N341"/>
      <c r="O341"/>
      <c r="P341"/>
    </row>
    <row r="342" spans="1:16" s="626" customFormat="1">
      <c r="A342" s="750"/>
      <c r="B342" s="1815" t="s">
        <v>169</v>
      </c>
      <c r="C342" s="1469" t="s">
        <v>577</v>
      </c>
      <c r="D342" s="1469"/>
      <c r="E342" s="1823"/>
      <c r="F342" s="1824"/>
      <c r="G342" s="740"/>
      <c r="H342" s="747"/>
      <c r="I342" s="1185"/>
      <c r="K342"/>
      <c r="L342"/>
      <c r="M342"/>
      <c r="N342"/>
      <c r="O342"/>
      <c r="P342"/>
    </row>
    <row r="343" spans="1:16" s="626" customFormat="1">
      <c r="A343" s="750"/>
      <c r="B343" s="1815" t="s">
        <v>171</v>
      </c>
      <c r="C343" s="1469" t="s">
        <v>578</v>
      </c>
      <c r="D343" s="1469"/>
      <c r="E343" s="1823"/>
      <c r="F343" s="1824"/>
      <c r="G343" s="740"/>
      <c r="H343" s="747"/>
      <c r="I343" s="1185"/>
      <c r="K343"/>
      <c r="L343"/>
      <c r="M343"/>
      <c r="N343"/>
      <c r="O343"/>
      <c r="P343"/>
    </row>
    <row r="344" spans="1:16" s="626" customFormat="1" ht="15.75" customHeight="1">
      <c r="A344" s="750"/>
      <c r="B344" s="1815" t="s">
        <v>579</v>
      </c>
      <c r="C344" s="1857" t="s">
        <v>1896</v>
      </c>
      <c r="D344" s="1857"/>
      <c r="E344" s="1857"/>
      <c r="F344" s="1857"/>
      <c r="G344" s="740"/>
      <c r="H344" s="747"/>
      <c r="I344" s="1185"/>
      <c r="K344"/>
      <c r="L344"/>
      <c r="M344"/>
      <c r="N344"/>
      <c r="O344"/>
      <c r="P344"/>
    </row>
    <row r="345" spans="1:16" s="626" customFormat="1">
      <c r="A345" s="750"/>
      <c r="B345" s="1815"/>
      <c r="C345" s="1857"/>
      <c r="D345" s="1857"/>
      <c r="E345" s="1857"/>
      <c r="F345" s="1857"/>
      <c r="G345" s="740"/>
      <c r="H345" s="747"/>
      <c r="I345" s="1185"/>
      <c r="K345"/>
      <c r="L345"/>
      <c r="M345"/>
      <c r="N345"/>
      <c r="O345"/>
      <c r="P345"/>
    </row>
    <row r="346" spans="1:16" s="626" customFormat="1">
      <c r="A346" s="750"/>
      <c r="B346" s="1825" t="s">
        <v>580</v>
      </c>
      <c r="C346" s="1858" t="s">
        <v>17</v>
      </c>
      <c r="D346" s="1859"/>
      <c r="E346" s="1859"/>
      <c r="F346" s="1859"/>
      <c r="G346" s="740"/>
      <c r="H346" s="747"/>
      <c r="I346" s="1185"/>
      <c r="K346"/>
      <c r="L346"/>
      <c r="M346"/>
      <c r="N346"/>
      <c r="O346"/>
      <c r="P346"/>
    </row>
    <row r="347" spans="1:16" s="626" customFormat="1" ht="33.75" customHeight="1">
      <c r="A347" s="750"/>
      <c r="B347" s="1815" t="s">
        <v>581</v>
      </c>
      <c r="C347" s="1469" t="s">
        <v>582</v>
      </c>
      <c r="D347" s="1469"/>
      <c r="E347" s="1823"/>
      <c r="F347" s="1824"/>
      <c r="G347" s="740"/>
      <c r="H347" s="747"/>
      <c r="I347" s="1185"/>
      <c r="K347"/>
      <c r="L347"/>
      <c r="M347"/>
      <c r="N347"/>
      <c r="O347"/>
      <c r="P347"/>
    </row>
    <row r="348" spans="1:16" s="626" customFormat="1">
      <c r="A348" s="750"/>
      <c r="B348" s="1815" t="s">
        <v>583</v>
      </c>
      <c r="C348" s="1469" t="s">
        <v>584</v>
      </c>
      <c r="D348" s="1469"/>
      <c r="E348" s="1823"/>
      <c r="F348" s="1824"/>
      <c r="G348" s="740"/>
      <c r="H348" s="747"/>
      <c r="I348" s="1185"/>
      <c r="K348"/>
      <c r="L348"/>
      <c r="M348"/>
      <c r="N348"/>
      <c r="O348"/>
      <c r="P348"/>
    </row>
    <row r="349" spans="1:16" s="626" customFormat="1">
      <c r="A349" s="750"/>
      <c r="B349" s="1815" t="s">
        <v>585</v>
      </c>
      <c r="C349" s="1469" t="s">
        <v>586</v>
      </c>
      <c r="D349" s="1469"/>
      <c r="E349" s="1823"/>
      <c r="F349" s="1824"/>
      <c r="G349" s="740"/>
      <c r="H349" s="747"/>
      <c r="I349" s="1185"/>
      <c r="K349"/>
      <c r="L349"/>
      <c r="M349"/>
      <c r="N349"/>
      <c r="O349"/>
      <c r="P349"/>
    </row>
    <row r="350" spans="1:16">
      <c r="A350" s="752"/>
      <c r="B350" s="1815" t="s">
        <v>587</v>
      </c>
      <c r="C350" s="1826" t="s">
        <v>588</v>
      </c>
      <c r="D350" s="1469"/>
      <c r="E350" s="1823"/>
      <c r="F350" s="1824"/>
      <c r="G350" s="740"/>
      <c r="H350" s="747"/>
      <c r="I350" s="1185"/>
      <c r="N350"/>
      <c r="O350"/>
      <c r="P350"/>
    </row>
    <row r="351" spans="1:16">
      <c r="A351" s="752"/>
      <c r="B351" s="1815"/>
      <c r="C351" s="1826" t="s">
        <v>1986</v>
      </c>
      <c r="D351" s="1469"/>
      <c r="E351" s="1823"/>
      <c r="F351" s="1824"/>
      <c r="G351" s="740"/>
      <c r="H351" s="747"/>
      <c r="I351" s="1185"/>
      <c r="N351"/>
      <c r="O351"/>
      <c r="P351"/>
    </row>
    <row r="352" spans="1:16">
      <c r="A352" s="752"/>
      <c r="B352" s="1815"/>
      <c r="C352" s="1826"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1469"/>
      <c r="E352" s="1823"/>
      <c r="F352" s="1824"/>
      <c r="G352" s="740"/>
      <c r="H352" s="747"/>
      <c r="I352" s="1185"/>
      <c r="N352"/>
      <c r="O352"/>
      <c r="P352"/>
    </row>
    <row r="353" spans="1:16">
      <c r="A353" s="752"/>
      <c r="B353" s="1815" t="s">
        <v>589</v>
      </c>
      <c r="C353" s="1826"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1469"/>
      <c r="E353" s="1823"/>
      <c r="F353" s="1824"/>
      <c r="G353" s="740"/>
      <c r="H353" s="747"/>
      <c r="I353" s="1185"/>
      <c r="N353"/>
      <c r="O353"/>
      <c r="P353"/>
    </row>
    <row r="354" spans="1:16">
      <c r="A354" s="752"/>
      <c r="B354" s="1815"/>
      <c r="C354" s="1826" t="str">
        <f>"  If they are booked to Acct 565, they are included in on line "&amp;A141&amp;""</f>
        <v xml:space="preserve">  If they are booked to Acct 565, they are included in on line 64</v>
      </c>
      <c r="D354" s="1469"/>
      <c r="E354" s="1823"/>
      <c r="F354" s="1824"/>
      <c r="G354" s="740"/>
      <c r="H354" s="747"/>
      <c r="I354" s="1185"/>
      <c r="N354"/>
      <c r="O354"/>
      <c r="P354"/>
    </row>
    <row r="355" spans="1:16" ht="18">
      <c r="A355" s="752"/>
      <c r="B355" s="1815" t="s">
        <v>590</v>
      </c>
      <c r="C355" s="1826" t="s">
        <v>591</v>
      </c>
      <c r="D355" s="1827"/>
      <c r="E355" s="1827"/>
      <c r="F355" s="1827"/>
      <c r="G355" s="740"/>
      <c r="H355" s="747"/>
      <c r="I355" s="1185"/>
      <c r="N355"/>
      <c r="O355"/>
      <c r="P355"/>
    </row>
    <row r="356" spans="1:16" s="626" customFormat="1" ht="18">
      <c r="A356" s="753"/>
      <c r="B356" s="1815" t="s">
        <v>592</v>
      </c>
      <c r="C356" s="1100" t="s">
        <v>1408</v>
      </c>
      <c r="D356" s="1469"/>
      <c r="E356" s="1823"/>
      <c r="F356" s="1824"/>
      <c r="G356" s="748"/>
      <c r="H356" s="754"/>
      <c r="I356" s="1186"/>
      <c r="K356"/>
      <c r="L356"/>
      <c r="M356"/>
      <c r="N356"/>
      <c r="O356"/>
      <c r="P356"/>
    </row>
    <row r="357" spans="1:16">
      <c r="A357" s="150"/>
      <c r="B357" s="1815" t="s">
        <v>593</v>
      </c>
      <c r="C357" s="1469" t="s">
        <v>594</v>
      </c>
      <c r="D357" s="1469"/>
      <c r="E357" s="1823"/>
      <c r="F357" s="1824"/>
      <c r="G357" s="740"/>
      <c r="H357" s="747"/>
      <c r="I357" s="1185"/>
      <c r="N357"/>
      <c r="O357"/>
      <c r="P357"/>
    </row>
    <row r="358" spans="1:16">
      <c r="A358" s="411"/>
      <c r="B358" s="1828"/>
      <c r="C358" s="1469" t="s">
        <v>595</v>
      </c>
      <c r="D358" s="1469"/>
      <c r="E358" s="1823"/>
      <c r="F358" s="1824"/>
      <c r="G358" s="740"/>
      <c r="H358" s="747"/>
      <c r="I358" s="1185"/>
      <c r="N358"/>
      <c r="O358"/>
      <c r="P358"/>
    </row>
    <row r="359" spans="1:16">
      <c r="A359" s="411"/>
      <c r="B359" s="1815" t="s">
        <v>596</v>
      </c>
      <c r="C359" s="1469" t="s">
        <v>597</v>
      </c>
      <c r="D359" s="1469"/>
      <c r="E359" s="1823"/>
      <c r="F359" s="1824"/>
      <c r="G359" s="740"/>
      <c r="H359" s="747"/>
      <c r="I359" s="1185"/>
      <c r="N359"/>
      <c r="O359"/>
      <c r="P359"/>
    </row>
    <row r="360" spans="1:16">
      <c r="A360" s="411"/>
      <c r="B360" s="1815" t="s">
        <v>231</v>
      </c>
      <c r="C360" s="1469" t="s">
        <v>1491</v>
      </c>
      <c r="D360" s="1469"/>
      <c r="E360" s="1823"/>
      <c r="F360" s="1824"/>
      <c r="G360" s="740"/>
      <c r="H360" s="747"/>
      <c r="I360" s="1185"/>
      <c r="N360"/>
      <c r="O360"/>
      <c r="P360"/>
    </row>
    <row r="361" spans="1:16" s="1469" customFormat="1">
      <c r="A361" s="1470"/>
      <c r="B361" s="1815" t="s">
        <v>1034</v>
      </c>
      <c r="C361" s="1857" t="s">
        <v>1492</v>
      </c>
      <c r="D361" s="1857"/>
      <c r="E361" s="1857"/>
      <c r="F361" s="1857"/>
      <c r="G361" s="1471"/>
      <c r="H361" s="1472"/>
      <c r="I361" s="1185"/>
      <c r="K361"/>
      <c r="L361"/>
      <c r="M361"/>
      <c r="N361" s="1468"/>
      <c r="O361" s="1468"/>
      <c r="P361" s="1468"/>
    </row>
    <row r="362" spans="1:16" ht="23.25" customHeight="1">
      <c r="A362" s="411"/>
      <c r="B362" s="1815"/>
      <c r="C362" s="1857"/>
      <c r="D362" s="1857"/>
      <c r="E362" s="1857"/>
      <c r="F362" s="1857"/>
      <c r="G362" s="740"/>
      <c r="H362" s="747"/>
      <c r="I362" s="1185"/>
      <c r="N362"/>
      <c r="O362"/>
      <c r="P362"/>
    </row>
    <row r="363" spans="1:16" ht="15.75" customHeight="1">
      <c r="A363" s="411"/>
      <c r="B363" s="1825" t="s">
        <v>1185</v>
      </c>
      <c r="C363" s="1856" t="s">
        <v>1493</v>
      </c>
      <c r="D363" s="1856"/>
      <c r="E363" s="1856"/>
      <c r="F363" s="1856"/>
      <c r="G363" s="740"/>
      <c r="H363" s="747"/>
      <c r="I363" s="1185"/>
      <c r="N363"/>
      <c r="O363"/>
      <c r="P363"/>
    </row>
    <row r="364" spans="1:16" s="1469" customFormat="1">
      <c r="A364" s="1470"/>
      <c r="B364" s="1825"/>
      <c r="C364" s="1856"/>
      <c r="D364" s="1856"/>
      <c r="E364" s="1856"/>
      <c r="F364" s="1856"/>
      <c r="G364" s="1471"/>
      <c r="H364" s="1472"/>
      <c r="I364" s="1185"/>
      <c r="K364"/>
      <c r="L364"/>
      <c r="M364"/>
      <c r="N364" s="1468"/>
      <c r="O364" s="1468"/>
      <c r="P364" s="1468"/>
    </row>
    <row r="365" spans="1:16" s="1469" customFormat="1">
      <c r="A365" s="1470"/>
      <c r="B365" s="1825"/>
      <c r="C365" s="1856"/>
      <c r="D365" s="1856"/>
      <c r="E365" s="1856"/>
      <c r="F365" s="1856"/>
      <c r="G365" s="1471"/>
      <c r="H365" s="1472"/>
      <c r="I365" s="1185"/>
      <c r="K365"/>
      <c r="L365"/>
      <c r="M365"/>
      <c r="N365" s="1468"/>
      <c r="O365" s="1468"/>
      <c r="P365" s="1468"/>
    </row>
    <row r="366" spans="1:16" s="1469" customFormat="1">
      <c r="A366" s="1470"/>
      <c r="B366" s="1825"/>
      <c r="C366" s="1856"/>
      <c r="D366" s="1856"/>
      <c r="E366" s="1856"/>
      <c r="F366" s="1856"/>
      <c r="G366" s="1471"/>
      <c r="H366" s="1472"/>
      <c r="I366" s="1185"/>
      <c r="K366"/>
      <c r="L366"/>
      <c r="M366"/>
      <c r="N366" s="1468"/>
      <c r="O366" s="1468"/>
      <c r="P366" s="1468"/>
    </row>
    <row r="367" spans="1:16" s="1469" customFormat="1">
      <c r="A367" s="1470"/>
      <c r="B367" s="1825"/>
      <c r="C367" s="1856"/>
      <c r="D367" s="1856"/>
      <c r="E367" s="1856"/>
      <c r="F367" s="1856"/>
      <c r="G367" s="1471"/>
      <c r="H367" s="1472"/>
      <c r="I367" s="1185"/>
      <c r="K367"/>
      <c r="L367"/>
      <c r="M367"/>
      <c r="N367" s="1468"/>
      <c r="O367" s="1468"/>
      <c r="P367" s="1468"/>
    </row>
    <row r="368" spans="1:16" s="1469" customFormat="1">
      <c r="A368" s="1470"/>
      <c r="B368" s="1825"/>
      <c r="C368" s="1856"/>
      <c r="D368" s="1856"/>
      <c r="E368" s="1856"/>
      <c r="F368" s="1856"/>
      <c r="G368" s="1471"/>
      <c r="H368" s="1472"/>
      <c r="I368" s="1185"/>
      <c r="K368"/>
      <c r="L368"/>
      <c r="M368"/>
      <c r="N368" s="1468"/>
      <c r="O368" s="1468"/>
      <c r="P368" s="1468"/>
    </row>
    <row r="369" spans="1:16" s="1469" customFormat="1">
      <c r="A369" s="1470"/>
      <c r="B369" s="1825"/>
      <c r="C369" s="1856"/>
      <c r="D369" s="1856"/>
      <c r="E369" s="1856"/>
      <c r="F369" s="1856"/>
      <c r="G369" s="1471"/>
      <c r="H369" s="1472"/>
      <c r="I369" s="1185"/>
      <c r="K369"/>
      <c r="L369"/>
      <c r="M369"/>
      <c r="N369" s="1468"/>
      <c r="O369" s="1468"/>
      <c r="P369" s="1468"/>
    </row>
    <row r="370" spans="1:16" s="1469" customFormat="1">
      <c r="A370" s="1470"/>
      <c r="B370" s="1825"/>
      <c r="C370" s="1856"/>
      <c r="D370" s="1856"/>
      <c r="E370" s="1856"/>
      <c r="F370" s="1856"/>
      <c r="G370" s="1471"/>
      <c r="H370" s="1472"/>
      <c r="I370" s="1185"/>
      <c r="K370"/>
      <c r="L370"/>
      <c r="M370"/>
      <c r="N370" s="1468"/>
      <c r="O370" s="1468"/>
      <c r="P370" s="1468"/>
    </row>
    <row r="371" spans="1:16" s="1469" customFormat="1">
      <c r="A371" s="1470"/>
      <c r="B371" s="1825"/>
      <c r="C371" s="1856"/>
      <c r="D371" s="1856"/>
      <c r="E371" s="1856"/>
      <c r="F371" s="1856"/>
      <c r="G371" s="1471"/>
      <c r="H371" s="1472"/>
      <c r="I371" s="1185"/>
      <c r="K371"/>
      <c r="L371"/>
      <c r="M371"/>
      <c r="N371" s="1468"/>
      <c r="O371" s="1468"/>
      <c r="P371" s="1468"/>
    </row>
    <row r="372" spans="1:16" s="1469" customFormat="1">
      <c r="A372" s="1470"/>
      <c r="B372" s="1825"/>
      <c r="C372" s="1856"/>
      <c r="D372" s="1856"/>
      <c r="E372" s="1856"/>
      <c r="F372" s="1856"/>
      <c r="G372" s="1471"/>
      <c r="H372" s="1472"/>
      <c r="I372" s="1185"/>
      <c r="K372"/>
      <c r="L372"/>
      <c r="M372"/>
      <c r="N372" s="1468"/>
      <c r="O372" s="1468"/>
      <c r="P372" s="1468"/>
    </row>
    <row r="373" spans="1:16" s="1469" customFormat="1">
      <c r="A373" s="1470"/>
      <c r="B373" s="1825" t="s">
        <v>1187</v>
      </c>
      <c r="C373" s="1857" t="s">
        <v>1494</v>
      </c>
      <c r="D373" s="1857"/>
      <c r="E373" s="1857"/>
      <c r="F373" s="1857"/>
      <c r="G373" s="1471"/>
      <c r="H373" s="1472"/>
      <c r="I373" s="1185"/>
      <c r="K373"/>
      <c r="L373"/>
      <c r="M373"/>
      <c r="N373" s="1468"/>
      <c r="O373" s="1468"/>
      <c r="P373" s="1468"/>
    </row>
    <row r="374" spans="1:16" ht="15.75" customHeight="1">
      <c r="A374" s="411"/>
      <c r="B374" s="1825"/>
      <c r="C374" s="1857"/>
      <c r="D374" s="1857"/>
      <c r="E374" s="1857"/>
      <c r="F374" s="1857"/>
      <c r="G374" s="740"/>
      <c r="H374" s="747"/>
      <c r="I374" s="1185"/>
      <c r="N374"/>
      <c r="O374"/>
      <c r="P374"/>
    </row>
    <row r="375" spans="1:16" s="1469" customFormat="1">
      <c r="A375" s="1470"/>
      <c r="B375" s="1825"/>
      <c r="C375" s="1857"/>
      <c r="D375" s="1857"/>
      <c r="E375" s="1857"/>
      <c r="F375" s="1857"/>
      <c r="G375" s="1471"/>
      <c r="H375" s="1472"/>
      <c r="I375" s="1185"/>
      <c r="K375"/>
      <c r="L375"/>
      <c r="M375"/>
      <c r="N375" s="1468"/>
      <c r="O375" s="1468"/>
      <c r="P375" s="1468"/>
    </row>
    <row r="376" spans="1:16" s="1469" customFormat="1">
      <c r="A376" s="1470"/>
      <c r="B376" s="1825"/>
      <c r="C376" s="1857"/>
      <c r="D376" s="1857"/>
      <c r="E376" s="1857"/>
      <c r="F376" s="1857"/>
      <c r="G376" s="1471"/>
      <c r="H376" s="1472"/>
      <c r="I376" s="1185"/>
      <c r="K376"/>
      <c r="L376"/>
      <c r="M376"/>
      <c r="N376" s="1468"/>
      <c r="O376" s="1468"/>
      <c r="P376" s="1468"/>
    </row>
    <row r="377" spans="1:16" s="1469" customFormat="1">
      <c r="A377" s="1470"/>
      <c r="B377" s="1825" t="s">
        <v>1189</v>
      </c>
      <c r="C377" s="1855" t="s">
        <v>1186</v>
      </c>
      <c r="D377" s="1855"/>
      <c r="E377" s="1855"/>
      <c r="F377" s="1855"/>
      <c r="G377" s="1471"/>
      <c r="H377" s="1472"/>
      <c r="I377" s="1185"/>
      <c r="K377"/>
      <c r="L377"/>
      <c r="M377"/>
      <c r="N377" s="1468"/>
      <c r="O377" s="1468"/>
      <c r="P377" s="1468"/>
    </row>
    <row r="378" spans="1:16" ht="33" customHeight="1">
      <c r="A378" s="411"/>
      <c r="B378" s="1825" t="s">
        <v>1394</v>
      </c>
      <c r="C378" s="1855" t="s">
        <v>1188</v>
      </c>
      <c r="D378" s="1855"/>
      <c r="E378" s="1855"/>
      <c r="F378" s="1855"/>
      <c r="G378" s="740"/>
      <c r="H378" s="747"/>
      <c r="I378" s="1185"/>
    </row>
    <row r="379" spans="1:16" ht="34.5" customHeight="1">
      <c r="A379" s="411"/>
      <c r="B379" s="1825" t="s">
        <v>1495</v>
      </c>
      <c r="C379" s="1855" t="s">
        <v>1190</v>
      </c>
      <c r="D379" s="1855"/>
      <c r="E379" s="1855"/>
      <c r="F379" s="1855"/>
      <c r="G379" s="740"/>
      <c r="H379" s="747"/>
      <c r="I379" s="1185"/>
    </row>
    <row r="380" spans="1:16" ht="33" customHeight="1">
      <c r="A380" s="411"/>
      <c r="B380" s="1825" t="s">
        <v>1496</v>
      </c>
      <c r="C380" s="1856" t="s">
        <v>1532</v>
      </c>
      <c r="D380" s="1856"/>
      <c r="E380" s="1856"/>
      <c r="F380" s="1856"/>
      <c r="G380" s="740"/>
      <c r="H380" s="747"/>
      <c r="I380" s="1185"/>
    </row>
    <row r="381" spans="1:16">
      <c r="A381" s="755" t="s">
        <v>598</v>
      </c>
      <c r="B381" s="756"/>
      <c r="C381" s="324"/>
      <c r="D381" s="386"/>
      <c r="E381" s="757"/>
      <c r="F381" s="386"/>
      <c r="G381" s="386"/>
      <c r="H381" s="324"/>
    </row>
    <row r="382" spans="1:16">
      <c r="A382" s="336"/>
      <c r="B382" s="335"/>
      <c r="C382" s="233"/>
      <c r="D382" s="233"/>
    </row>
    <row r="383" spans="1:16">
      <c r="H383" s="758"/>
      <c r="I383" s="1137"/>
    </row>
    <row r="384" spans="1:16">
      <c r="H384" s="759"/>
      <c r="I384" s="1187"/>
    </row>
    <row r="385" spans="8:9">
      <c r="H385" s="760"/>
      <c r="I385" s="1188"/>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78:F378"/>
    <mergeCell ref="C379:F379"/>
    <mergeCell ref="C380:F380"/>
    <mergeCell ref="C344:F345"/>
    <mergeCell ref="C346:F346"/>
    <mergeCell ref="C361:F362"/>
    <mergeCell ref="C363:F372"/>
    <mergeCell ref="C373:F376"/>
    <mergeCell ref="C377:F377"/>
  </mergeCells>
  <pageMargins left="0.5" right="0.5" top="0.5" bottom="0.5" header="0.5" footer="0.5"/>
  <pageSetup scale="35" fitToHeight="3" orientation="portrait" r:id="rId2"/>
  <rowBreaks count="3" manualBreakCount="3">
    <brk id="111" max="7" man="1"/>
    <brk id="219"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topLeftCell="A24" zoomScale="68" zoomScaleNormal="68" workbookViewId="0">
      <selection activeCell="E43" sqref="E43"/>
    </sheetView>
  </sheetViews>
  <sheetFormatPr defaultRowHeight="15"/>
  <cols>
    <col min="1" max="1" width="4.140625" style="3" customWidth="1"/>
    <col min="2" max="2" width="76.85546875" customWidth="1"/>
    <col min="3" max="3" width="23.42578125" customWidth="1"/>
    <col min="4" max="4" width="15.28515625" customWidth="1"/>
    <col min="5" max="5" width="19.5703125" customWidth="1"/>
    <col min="6" max="6" width="11.7109375" customWidth="1"/>
    <col min="7" max="7" width="16.7109375" style="422" customWidth="1"/>
    <col min="8" max="9" width="15" customWidth="1"/>
    <col min="10" max="10" width="10.28515625" customWidth="1"/>
    <col min="11" max="11" width="16.85546875" customWidth="1"/>
    <col min="12" max="12" width="14" customWidth="1"/>
    <col min="13" max="13" width="16" customWidth="1"/>
    <col min="14" max="14" width="15" customWidth="1"/>
    <col min="15" max="16" width="12.28515625" customWidth="1"/>
    <col min="18" max="18" width="11" customWidth="1"/>
  </cols>
  <sheetData>
    <row r="1" spans="1:15" ht="18">
      <c r="A1" s="1905" t="s">
        <v>344</v>
      </c>
      <c r="B1" s="1905"/>
      <c r="C1" s="1905"/>
      <c r="D1" s="1905"/>
      <c r="E1" s="1905"/>
      <c r="F1" s="1905"/>
      <c r="G1" s="1905"/>
      <c r="H1" s="5"/>
    </row>
    <row r="2" spans="1:15">
      <c r="A2" s="420"/>
      <c r="G2" s="421"/>
      <c r="H2" s="5"/>
    </row>
    <row r="3" spans="1:15" ht="15.75">
      <c r="A3" s="1907" t="s">
        <v>201</v>
      </c>
      <c r="B3" s="1908"/>
      <c r="C3" s="1908"/>
      <c r="D3" s="1908"/>
      <c r="E3" s="1908"/>
      <c r="F3" s="1908"/>
      <c r="G3" s="1908"/>
      <c r="H3" s="5"/>
    </row>
    <row r="4" spans="1:15">
      <c r="B4" s="2"/>
      <c r="C4" s="3"/>
      <c r="D4" s="1191"/>
      <c r="E4" s="1191"/>
      <c r="F4" s="1191"/>
      <c r="G4" s="1157"/>
      <c r="H4" s="423"/>
    </row>
    <row r="5" spans="1:15" ht="26.25">
      <c r="B5" s="424"/>
      <c r="C5" s="3"/>
      <c r="D5" s="1192" t="s">
        <v>1191</v>
      </c>
      <c r="E5" s="1192" t="s">
        <v>1192</v>
      </c>
      <c r="F5" s="1192" t="s">
        <v>1193</v>
      </c>
      <c r="G5" s="1192" t="s">
        <v>1194</v>
      </c>
      <c r="H5" s="423"/>
    </row>
    <row r="6" spans="1:15">
      <c r="A6"/>
      <c r="B6" s="425" t="s">
        <v>242</v>
      </c>
      <c r="H6" s="5"/>
    </row>
    <row r="7" spans="1:15">
      <c r="A7">
        <v>1</v>
      </c>
      <c r="B7" s="15" t="s">
        <v>243</v>
      </c>
      <c r="C7" s="426"/>
      <c r="D7" s="427">
        <v>11861790</v>
      </c>
      <c r="E7" s="438" t="s">
        <v>275</v>
      </c>
      <c r="F7" s="1193">
        <v>1</v>
      </c>
      <c r="G7" s="1194">
        <f>D7*F7</f>
        <v>11861790</v>
      </c>
      <c r="H7" s="1162"/>
    </row>
    <row r="8" spans="1:15" s="2" customFormat="1">
      <c r="A8" s="103">
        <v>2</v>
      </c>
      <c r="B8" s="15" t="s">
        <v>244</v>
      </c>
      <c r="C8" s="103" t="s">
        <v>245</v>
      </c>
      <c r="D8" s="103"/>
      <c r="E8" s="442"/>
      <c r="F8" s="442"/>
      <c r="G8" s="1194">
        <f>G7</f>
        <v>11861790</v>
      </c>
      <c r="H8" s="429"/>
      <c r="I8"/>
      <c r="J8"/>
      <c r="K8"/>
      <c r="L8"/>
      <c r="M8"/>
      <c r="N8"/>
      <c r="O8"/>
    </row>
    <row r="9" spans="1:15">
      <c r="A9"/>
      <c r="B9" s="11"/>
      <c r="C9" s="11"/>
      <c r="D9" s="1190"/>
      <c r="E9" s="318"/>
      <c r="F9" s="318"/>
      <c r="G9" s="431"/>
      <c r="H9" s="431"/>
    </row>
    <row r="10" spans="1:15">
      <c r="A10" s="5"/>
      <c r="B10" s="425" t="s">
        <v>246</v>
      </c>
      <c r="C10" s="11"/>
      <c r="D10" s="1190"/>
      <c r="E10" s="318"/>
      <c r="F10" s="318"/>
      <c r="G10" s="432"/>
      <c r="H10" s="432"/>
    </row>
    <row r="11" spans="1:15">
      <c r="A11" s="5"/>
      <c r="B11" s="434"/>
      <c r="C11" s="435"/>
      <c r="D11" s="435"/>
      <c r="E11" s="1195"/>
      <c r="F11" s="1195"/>
      <c r="G11" s="436"/>
      <c r="H11" s="436"/>
    </row>
    <row r="12" spans="1:15">
      <c r="A12" s="5">
        <v>3</v>
      </c>
      <c r="B12" s="15" t="s">
        <v>247</v>
      </c>
      <c r="C12" s="428"/>
      <c r="D12" s="427">
        <v>547200.43000000005</v>
      </c>
      <c r="E12" s="438" t="s">
        <v>275</v>
      </c>
      <c r="F12" s="1193">
        <v>1</v>
      </c>
      <c r="G12" s="1194">
        <f>D12*F12</f>
        <v>547200.43000000005</v>
      </c>
      <c r="H12" s="1163"/>
    </row>
    <row r="13" spans="1:15" ht="45">
      <c r="A13" s="437">
        <v>4</v>
      </c>
      <c r="B13" s="428" t="s">
        <v>248</v>
      </c>
      <c r="C13" s="428"/>
      <c r="D13" s="427"/>
      <c r="E13" s="438" t="s">
        <v>275</v>
      </c>
      <c r="F13" s="1193">
        <v>1</v>
      </c>
      <c r="G13" s="1194">
        <f>D13*F13</f>
        <v>0</v>
      </c>
      <c r="H13" s="438"/>
    </row>
    <row r="14" spans="1:15">
      <c r="A14" s="5">
        <v>5</v>
      </c>
      <c r="B14" s="11" t="s">
        <v>249</v>
      </c>
      <c r="C14" s="428"/>
      <c r="D14" s="427">
        <v>2382873.0699999998</v>
      </c>
      <c r="E14" s="438" t="s">
        <v>275</v>
      </c>
      <c r="F14" s="1193">
        <v>1</v>
      </c>
      <c r="G14" s="1194">
        <f>D14*F14</f>
        <v>2382873.0699999998</v>
      </c>
      <c r="H14" s="1163"/>
    </row>
    <row r="15" spans="1:15">
      <c r="A15">
        <v>6</v>
      </c>
      <c r="B15" s="11" t="s">
        <v>250</v>
      </c>
      <c r="C15" s="439"/>
      <c r="D15" s="427"/>
      <c r="E15" s="438" t="s">
        <v>275</v>
      </c>
      <c r="F15" s="1193">
        <v>1</v>
      </c>
      <c r="G15" s="1194">
        <f t="shared" ref="G15:G20" si="0">D15*F15</f>
        <v>0</v>
      </c>
      <c r="H15" s="440"/>
    </row>
    <row r="16" spans="1:15">
      <c r="A16">
        <v>7</v>
      </c>
      <c r="B16" s="11" t="s">
        <v>251</v>
      </c>
      <c r="C16" s="428"/>
      <c r="D16" s="427"/>
      <c r="E16" s="438" t="s">
        <v>275</v>
      </c>
      <c r="F16" s="1193">
        <v>1</v>
      </c>
      <c r="G16" s="1194">
        <f t="shared" si="0"/>
        <v>0</v>
      </c>
      <c r="H16" s="438"/>
    </row>
    <row r="17" spans="1:18">
      <c r="A17">
        <v>8</v>
      </c>
      <c r="B17" s="11" t="s">
        <v>252</v>
      </c>
      <c r="C17" s="426"/>
      <c r="D17" s="427"/>
      <c r="E17" s="438" t="s">
        <v>275</v>
      </c>
      <c r="F17" s="1193">
        <v>1</v>
      </c>
      <c r="G17" s="1194">
        <f t="shared" si="0"/>
        <v>0</v>
      </c>
      <c r="H17" s="441"/>
    </row>
    <row r="18" spans="1:18">
      <c r="A18">
        <v>9</v>
      </c>
      <c r="B18" s="11" t="s">
        <v>253</v>
      </c>
      <c r="C18" s="442"/>
      <c r="D18" s="427"/>
      <c r="E18" s="438" t="s">
        <v>275</v>
      </c>
      <c r="F18" s="1193">
        <v>1</v>
      </c>
      <c r="G18" s="1194">
        <f t="shared" si="0"/>
        <v>0</v>
      </c>
      <c r="H18" s="441"/>
    </row>
    <row r="19" spans="1:18">
      <c r="A19">
        <v>10</v>
      </c>
      <c r="B19" s="11" t="s">
        <v>254</v>
      </c>
      <c r="C19" s="442"/>
      <c r="D19" s="427"/>
      <c r="E19" s="438" t="s">
        <v>275</v>
      </c>
      <c r="F19" s="1193">
        <v>1</v>
      </c>
      <c r="G19" s="1194">
        <f t="shared" si="0"/>
        <v>0</v>
      </c>
      <c r="H19" s="441"/>
    </row>
    <row r="20" spans="1:18">
      <c r="A20" s="5">
        <f t="shared" ref="A20" si="1">+A19+1</f>
        <v>11</v>
      </c>
      <c r="B20" t="s">
        <v>1508</v>
      </c>
      <c r="C20" s="442"/>
      <c r="D20" s="1342">
        <v>3703479.8799999994</v>
      </c>
      <c r="E20" s="1196" t="s">
        <v>1195</v>
      </c>
      <c r="F20" s="1197">
        <f>+'ATT H-9A'!H16</f>
        <v>0.10939366197352368</v>
      </c>
      <c r="G20" s="1194">
        <f t="shared" si="0"/>
        <v>405137.226118466</v>
      </c>
      <c r="H20" s="441"/>
    </row>
    <row r="21" spans="1:18">
      <c r="A21" t="s">
        <v>994</v>
      </c>
      <c r="B21" t="s">
        <v>1399</v>
      </c>
      <c r="C21" s="442"/>
      <c r="D21" s="1343"/>
      <c r="E21" s="1196" t="s">
        <v>1407</v>
      </c>
      <c r="F21" s="1197"/>
      <c r="G21" s="1194">
        <f>+'5 - Cost Support 1'!G153</f>
        <v>0</v>
      </c>
      <c r="H21" s="441"/>
    </row>
    <row r="22" spans="1:18">
      <c r="A22"/>
      <c r="B22" s="11"/>
      <c r="C22" s="442"/>
      <c r="D22" s="442"/>
      <c r="E22" s="442"/>
      <c r="F22" s="442"/>
      <c r="G22" s="441"/>
      <c r="H22" s="441"/>
    </row>
    <row r="23" spans="1:18">
      <c r="A23" s="5">
        <v>12</v>
      </c>
      <c r="B23" s="11" t="s">
        <v>255</v>
      </c>
      <c r="C23" s="103" t="s">
        <v>1196</v>
      </c>
      <c r="D23" s="1502">
        <f>SUM(D7:D22)</f>
        <v>18495343.379999999</v>
      </c>
      <c r="E23" s="442"/>
      <c r="F23" s="442"/>
      <c r="G23" s="1194">
        <f>SUM(G8:G22)</f>
        <v>15197000.726118466</v>
      </c>
      <c r="H23" s="432"/>
    </row>
    <row r="24" spans="1:18">
      <c r="A24" s="5">
        <v>13</v>
      </c>
      <c r="B24" s="318" t="s">
        <v>1197</v>
      </c>
      <c r="C24" s="442"/>
      <c r="D24" s="427">
        <f>+D39</f>
        <v>-7565271.7351500001</v>
      </c>
      <c r="E24" s="438" t="s">
        <v>275</v>
      </c>
      <c r="F24" s="1193">
        <v>1</v>
      </c>
      <c r="G24" s="1194">
        <f t="shared" ref="G24" si="2">D24*F24</f>
        <v>-7565271.7351500001</v>
      </c>
      <c r="H24" s="432"/>
    </row>
    <row r="25" spans="1:18">
      <c r="A25" s="5">
        <v>14</v>
      </c>
      <c r="B25" s="318" t="s">
        <v>256</v>
      </c>
      <c r="C25" s="442"/>
      <c r="D25" s="442"/>
      <c r="E25" s="442"/>
      <c r="F25" s="442"/>
      <c r="G25" s="1194">
        <f>+G23+G24</f>
        <v>7631728.9909684658</v>
      </c>
    </row>
    <row r="26" spans="1:18">
      <c r="A26"/>
      <c r="B26" s="11"/>
      <c r="G26" s="432"/>
      <c r="H26" s="432"/>
      <c r="P26" s="83"/>
      <c r="R26" s="83"/>
    </row>
    <row r="27" spans="1:18">
      <c r="A27"/>
      <c r="B27" s="444" t="s">
        <v>257</v>
      </c>
      <c r="G27" s="445"/>
      <c r="P27" s="83"/>
      <c r="R27" s="83"/>
    </row>
    <row r="28" spans="1:18" ht="64.5">
      <c r="A28" s="437">
        <v>15</v>
      </c>
      <c r="B28" s="446" t="s">
        <v>258</v>
      </c>
      <c r="G28" s="432"/>
      <c r="P28" s="83"/>
    </row>
    <row r="29" spans="1:18">
      <c r="A29" s="447"/>
      <c r="B29" s="11"/>
      <c r="H29" s="432"/>
      <c r="P29" s="83"/>
      <c r="R29" s="83"/>
    </row>
    <row r="30" spans="1:18" ht="51.75">
      <c r="A30" s="447">
        <v>16</v>
      </c>
      <c r="B30" s="1200" t="s">
        <v>259</v>
      </c>
      <c r="G30" s="433"/>
      <c r="H30" s="441"/>
      <c r="P30" s="83"/>
    </row>
    <row r="31" spans="1:18">
      <c r="A31" s="447"/>
      <c r="B31" s="11"/>
      <c r="H31" s="432"/>
      <c r="P31" s="83"/>
    </row>
    <row r="32" spans="1:18" ht="153">
      <c r="A32" s="448">
        <v>17</v>
      </c>
      <c r="B32" s="300" t="s">
        <v>1205</v>
      </c>
      <c r="C32" s="449"/>
      <c r="D32" s="449"/>
      <c r="E32" s="449"/>
      <c r="F32" s="449"/>
      <c r="G32" s="450"/>
      <c r="H32" s="450"/>
      <c r="P32" s="83"/>
    </row>
    <row r="33" spans="1:14" ht="15.75">
      <c r="A33" s="448" t="s">
        <v>1198</v>
      </c>
      <c r="B33" s="300" t="s">
        <v>261</v>
      </c>
      <c r="C33" s="449"/>
      <c r="D33" s="427">
        <f>G8+G17+G19</f>
        <v>11861790</v>
      </c>
      <c r="E33" s="449"/>
      <c r="F33" s="449"/>
      <c r="H33" s="452"/>
    </row>
    <row r="34" spans="1:14" s="2" customFormat="1" ht="31.5">
      <c r="A34" s="448" t="s">
        <v>1199</v>
      </c>
      <c r="B34" s="300" t="s">
        <v>1206</v>
      </c>
      <c r="C34" s="454" t="s">
        <v>63</v>
      </c>
      <c r="D34" s="427">
        <f>'5 - Cost Support 1'!E275</f>
        <v>3268753.4703000002</v>
      </c>
      <c r="E34" s="454"/>
      <c r="F34" s="454"/>
      <c r="H34" s="455"/>
      <c r="I34"/>
      <c r="J34"/>
      <c r="K34"/>
      <c r="L34"/>
      <c r="M34"/>
      <c r="N34"/>
    </row>
    <row r="35" spans="1:14" ht="15.75">
      <c r="A35" s="448" t="s">
        <v>1200</v>
      </c>
      <c r="B35" s="300" t="s">
        <v>1207</v>
      </c>
      <c r="C35" s="449"/>
      <c r="D35" s="463">
        <f>+D33-D34</f>
        <v>8593036.5296999998</v>
      </c>
      <c r="E35" s="449"/>
      <c r="F35" s="449"/>
      <c r="H35" s="456"/>
    </row>
    <row r="36" spans="1:14" s="2" customFormat="1" ht="15.75">
      <c r="A36" s="448" t="s">
        <v>1201</v>
      </c>
      <c r="B36" s="300" t="s">
        <v>1208</v>
      </c>
      <c r="C36" s="449"/>
      <c r="D36" s="463">
        <f>+D35/2</f>
        <v>4296518.2648499999</v>
      </c>
      <c r="E36" s="449"/>
      <c r="F36" s="449"/>
      <c r="H36" s="456"/>
      <c r="I36"/>
      <c r="J36"/>
      <c r="K36"/>
      <c r="L36"/>
      <c r="M36"/>
      <c r="N36"/>
    </row>
    <row r="37" spans="1:14" ht="38.25">
      <c r="A37" s="448" t="s">
        <v>1202</v>
      </c>
      <c r="B37" s="300" t="s">
        <v>265</v>
      </c>
      <c r="C37" s="449"/>
      <c r="D37" s="451">
        <v>0</v>
      </c>
      <c r="E37" s="449"/>
      <c r="F37" s="449"/>
      <c r="H37" s="456"/>
    </row>
    <row r="38" spans="1:14" ht="15.75">
      <c r="A38" s="448" t="s">
        <v>1203</v>
      </c>
      <c r="B38" s="426" t="s">
        <v>1209</v>
      </c>
      <c r="C38" s="442"/>
      <c r="D38" s="463">
        <f>+D36+D37</f>
        <v>4296518.2648499999</v>
      </c>
      <c r="E38" s="442"/>
      <c r="F38" s="442"/>
      <c r="H38" s="458"/>
    </row>
    <row r="39" spans="1:14" ht="15.75">
      <c r="A39" s="448" t="s">
        <v>1204</v>
      </c>
      <c r="B39" s="426" t="s">
        <v>1210</v>
      </c>
      <c r="C39" s="442"/>
      <c r="D39" s="463">
        <f>+D38-D33</f>
        <v>-7565271.7351500001</v>
      </c>
      <c r="E39" s="442"/>
      <c r="F39" s="442"/>
      <c r="H39" s="458"/>
    </row>
    <row r="40" spans="1:14" ht="64.5">
      <c r="A40" s="459">
        <v>19</v>
      </c>
      <c r="B40" s="1198" t="s">
        <v>1211</v>
      </c>
      <c r="C40" s="454"/>
      <c r="D40" s="460">
        <f>265426214-D42-D23</f>
        <v>75023025.620000005</v>
      </c>
      <c r="E40" s="454"/>
      <c r="F40" s="454"/>
      <c r="H40" s="461"/>
    </row>
    <row r="41" spans="1:14">
      <c r="C41" s="462"/>
      <c r="D41" s="422"/>
      <c r="E41" s="462"/>
      <c r="F41" s="462"/>
      <c r="H41" s="432"/>
    </row>
    <row r="42" spans="1:14">
      <c r="A42" s="3">
        <v>20</v>
      </c>
      <c r="B42" s="1199" t="s">
        <v>268</v>
      </c>
      <c r="C42" s="462"/>
      <c r="D42" s="443">
        <v>171907845</v>
      </c>
      <c r="E42" s="462"/>
      <c r="F42" s="462"/>
      <c r="H42" s="461"/>
    </row>
    <row r="43" spans="1:14">
      <c r="B43" s="1199"/>
      <c r="D43" s="463"/>
      <c r="H43" s="445"/>
    </row>
    <row r="44" spans="1:14">
      <c r="A44" s="3">
        <v>21</v>
      </c>
      <c r="B44" s="442" t="s">
        <v>269</v>
      </c>
      <c r="C44" s="442"/>
      <c r="D44" s="463">
        <f>+D23+D28+D40+D42</f>
        <v>265426214</v>
      </c>
      <c r="E44" s="442"/>
      <c r="F44" s="442"/>
      <c r="H44" s="464"/>
    </row>
    <row r="45" spans="1:14">
      <c r="A45" s="3">
        <v>22</v>
      </c>
      <c r="B45" s="442" t="s">
        <v>270</v>
      </c>
      <c r="H45" s="457"/>
    </row>
    <row r="46" spans="1:14">
      <c r="H46" s="453"/>
    </row>
    <row r="48" spans="1:14">
      <c r="B48" s="1153"/>
    </row>
    <row r="49" spans="3:8">
      <c r="C49" s="462"/>
      <c r="D49" s="462"/>
      <c r="E49" s="462"/>
      <c r="F49" s="462"/>
      <c r="G49" s="445"/>
      <c r="H49" s="105"/>
    </row>
    <row r="50" spans="3:8">
      <c r="G50" s="445"/>
      <c r="H50" s="105"/>
    </row>
    <row r="51" spans="3:8">
      <c r="G51" s="445"/>
      <c r="H51" s="105"/>
    </row>
    <row r="52" spans="3:8">
      <c r="G52" s="445"/>
      <c r="H52" s="105"/>
    </row>
    <row r="53" spans="3:8">
      <c r="G53" s="445"/>
      <c r="H53" s="105"/>
    </row>
    <row r="291" spans="3:6" ht="15.7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topLeftCell="A128" zoomScale="75" zoomScaleNormal="75" workbookViewId="0">
      <selection activeCell="J164" sqref="J164"/>
    </sheetView>
  </sheetViews>
  <sheetFormatPr defaultRowHeight="15"/>
  <cols>
    <col min="1" max="1" width="9.28515625" style="1100" customWidth="1"/>
    <col min="2" max="2" width="3" style="1100" customWidth="1"/>
    <col min="3" max="3" width="8.140625" style="1100" customWidth="1"/>
    <col min="4" max="4" width="38.7109375" style="1100" customWidth="1"/>
    <col min="5" max="5" width="52.5703125" style="1100" customWidth="1"/>
    <col min="6" max="6" width="34.28515625" style="1100" customWidth="1"/>
    <col min="7" max="7" width="37.140625" style="1100" customWidth="1"/>
    <col min="8" max="8" width="3.85546875" style="1100" customWidth="1"/>
    <col min="9" max="9" width="18" style="1100" customWidth="1"/>
    <col min="10" max="16384" width="9.140625" style="1100"/>
  </cols>
  <sheetData>
    <row r="1" spans="1:9" ht="15.75">
      <c r="A1" s="1909" t="s">
        <v>344</v>
      </c>
      <c r="B1" s="1909"/>
      <c r="C1" s="1909"/>
      <c r="D1" s="1909"/>
      <c r="E1" s="1909"/>
      <c r="F1" s="1909"/>
      <c r="G1" s="1909"/>
      <c r="H1" s="1910"/>
      <c r="I1" s="1910"/>
    </row>
    <row r="2" spans="1:9" ht="15.75">
      <c r="A2" s="114"/>
      <c r="B2" s="12"/>
      <c r="C2" s="12"/>
      <c r="D2" s="12"/>
      <c r="E2" s="12"/>
      <c r="F2" s="12"/>
      <c r="G2" s="12"/>
    </row>
    <row r="3" spans="1:9" ht="15.75">
      <c r="A3" s="1909" t="s">
        <v>220</v>
      </c>
      <c r="B3" s="1909"/>
      <c r="C3" s="1909"/>
      <c r="D3" s="1909"/>
      <c r="E3" s="1909"/>
      <c r="F3" s="1909"/>
      <c r="G3" s="1909"/>
      <c r="H3" s="1910"/>
      <c r="I3" s="1910"/>
    </row>
    <row r="5" spans="1:9" s="1469" customFormat="1" ht="15.75">
      <c r="B5" s="114"/>
    </row>
    <row r="6" spans="1:9" s="1469" customFormat="1"/>
    <row r="7" spans="1:9" s="1469" customFormat="1"/>
    <row r="8" spans="1:9" s="1469" customFormat="1">
      <c r="C8" s="1469" t="s">
        <v>221</v>
      </c>
    </row>
    <row r="9" spans="1:9" s="1469" customFormat="1">
      <c r="A9" s="1545" t="s">
        <v>9</v>
      </c>
      <c r="B9" s="1545"/>
      <c r="D9" s="1469" t="s">
        <v>222</v>
      </c>
      <c r="G9" s="1397" t="s">
        <v>223</v>
      </c>
      <c r="I9" s="322">
        <f>+I56+I85</f>
        <v>85157226.270745292</v>
      </c>
    </row>
    <row r="10" spans="1:9" s="1469" customFormat="1">
      <c r="A10" s="1545"/>
      <c r="B10" s="1545"/>
    </row>
    <row r="11" spans="1:9" s="1469" customFormat="1">
      <c r="A11" s="1545" t="s">
        <v>10</v>
      </c>
      <c r="B11" s="1545"/>
      <c r="D11" s="1469" t="s">
        <v>979</v>
      </c>
      <c r="I11" s="323">
        <v>0.01</v>
      </c>
    </row>
    <row r="12" spans="1:9" s="1469" customFormat="1">
      <c r="A12" s="1545"/>
      <c r="B12" s="1545"/>
      <c r="I12" s="323"/>
    </row>
    <row r="13" spans="1:9" s="1397" customFormat="1">
      <c r="A13" s="1545"/>
      <c r="B13" s="1545"/>
      <c r="C13" s="1469"/>
      <c r="D13" s="1469"/>
      <c r="E13" s="1469"/>
      <c r="F13" s="1469"/>
      <c r="G13" s="1469"/>
      <c r="H13" s="1469"/>
    </row>
    <row r="14" spans="1:9" s="1397" customFormat="1" ht="15.75">
      <c r="A14" s="1708" t="s">
        <v>224</v>
      </c>
      <c r="B14" s="324"/>
      <c r="C14" s="324"/>
      <c r="D14" s="324"/>
      <c r="E14" s="324"/>
      <c r="F14" s="324"/>
      <c r="G14" s="324"/>
      <c r="H14" s="324"/>
      <c r="I14" s="324"/>
    </row>
    <row r="15" spans="1:9" s="1469" customFormat="1">
      <c r="I15" s="325"/>
    </row>
    <row r="16" spans="1:9" s="1469" customFormat="1">
      <c r="A16" s="1545">
        <v>59</v>
      </c>
      <c r="C16" s="326" t="s">
        <v>444</v>
      </c>
      <c r="D16" s="326"/>
      <c r="F16" s="326"/>
      <c r="G16" s="345" t="s">
        <v>953</v>
      </c>
      <c r="H16" s="326"/>
      <c r="I16" s="322">
        <f>+'ATT H-9A'!H131</f>
        <v>978735297.43782258</v>
      </c>
    </row>
    <row r="17" spans="1:9" s="1469" customFormat="1">
      <c r="G17" s="326"/>
      <c r="I17" s="325"/>
    </row>
    <row r="18" spans="1:9" s="1469" customFormat="1">
      <c r="G18" s="326"/>
    </row>
    <row r="19" spans="1:9" s="1469" customFormat="1" ht="15.75">
      <c r="A19" s="327"/>
      <c r="B19" s="326"/>
      <c r="C19" s="348" t="s">
        <v>2</v>
      </c>
      <c r="D19" s="329"/>
      <c r="E19" s="330"/>
      <c r="F19" s="1444"/>
      <c r="G19" s="332"/>
      <c r="H19" s="1445"/>
    </row>
    <row r="20" spans="1:9" s="1469" customFormat="1">
      <c r="A20" s="327">
        <v>100</v>
      </c>
      <c r="B20" s="326"/>
      <c r="C20" s="326"/>
      <c r="D20" s="1445" t="s">
        <v>2</v>
      </c>
      <c r="E20" s="330"/>
      <c r="F20" s="1444"/>
      <c r="G20" s="332" t="s">
        <v>489</v>
      </c>
      <c r="H20" s="1445"/>
      <c r="I20" s="1438">
        <f>+'ATT H-9A'!H207</f>
        <v>147339783</v>
      </c>
    </row>
    <row r="21" spans="1:9" s="1469" customFormat="1">
      <c r="A21" s="1446">
        <v>101</v>
      </c>
      <c r="B21" s="326"/>
      <c r="C21" s="326"/>
      <c r="D21" s="1447" t="s">
        <v>490</v>
      </c>
      <c r="E21" s="1449" t="s">
        <v>962</v>
      </c>
      <c r="F21" s="338"/>
      <c r="G21" s="339" t="s">
        <v>491</v>
      </c>
      <c r="H21" s="1449"/>
      <c r="I21" s="1402">
        <f>+'ATT H-9A'!H208</f>
        <v>0</v>
      </c>
    </row>
    <row r="22" spans="1:9" s="1469" customFormat="1" ht="15.75">
      <c r="A22" s="1446">
        <v>102</v>
      </c>
      <c r="B22" s="326"/>
      <c r="C22" s="326"/>
      <c r="D22" s="345" t="s">
        <v>2</v>
      </c>
      <c r="E22" s="330"/>
      <c r="F22" s="329"/>
      <c r="G22" s="332" t="s">
        <v>492</v>
      </c>
      <c r="H22" s="1445"/>
      <c r="I22" s="1438">
        <f>+I20-I21</f>
        <v>147339783</v>
      </c>
    </row>
    <row r="23" spans="1:9" s="1469" customFormat="1">
      <c r="A23" s="1446"/>
      <c r="B23" s="326"/>
      <c r="C23" s="1447"/>
      <c r="D23" s="1447"/>
      <c r="E23" s="1444"/>
      <c r="F23" s="1401"/>
      <c r="G23" s="326"/>
      <c r="H23" s="1401"/>
      <c r="I23" s="343"/>
    </row>
    <row r="24" spans="1:9" s="1469" customFormat="1" ht="15.75">
      <c r="A24" s="1446">
        <v>103</v>
      </c>
      <c r="B24" s="326"/>
      <c r="C24" s="345" t="s">
        <v>493</v>
      </c>
      <c r="D24" s="344"/>
      <c r="F24" s="1401" t="s">
        <v>494</v>
      </c>
      <c r="G24" s="345" t="s">
        <v>495</v>
      </c>
      <c r="H24" s="1401"/>
      <c r="I24" s="1438">
        <f>+'ATT H-9A'!H211</f>
        <v>0</v>
      </c>
    </row>
    <row r="25" spans="1:9" s="1469" customFormat="1">
      <c r="A25" s="1446"/>
      <c r="B25" s="326"/>
      <c r="C25" s="1447"/>
      <c r="D25" s="1447"/>
      <c r="E25" s="1444"/>
      <c r="F25" s="346"/>
      <c r="G25" s="345"/>
      <c r="H25" s="1401"/>
      <c r="I25" s="343"/>
    </row>
    <row r="26" spans="1:9" s="1469" customFormat="1" ht="15.75">
      <c r="A26" s="1446"/>
      <c r="B26" s="326"/>
      <c r="C26" s="1447" t="s">
        <v>496</v>
      </c>
      <c r="D26" s="347"/>
      <c r="E26" s="1444"/>
      <c r="F26" s="1444"/>
      <c r="G26" s="345"/>
      <c r="H26" s="1401"/>
      <c r="I26" s="343"/>
    </row>
    <row r="27" spans="1:9" s="1469" customFormat="1">
      <c r="A27" s="1446">
        <v>104</v>
      </c>
      <c r="B27" s="326"/>
      <c r="C27" s="326"/>
      <c r="D27" s="345" t="s">
        <v>497</v>
      </c>
      <c r="E27" s="1401"/>
      <c r="F27" s="1401"/>
      <c r="G27" s="345" t="s">
        <v>498</v>
      </c>
      <c r="H27" s="1401"/>
      <c r="I27" s="1438">
        <f>+'ATT H-9A'!H214</f>
        <v>3093162241.43923</v>
      </c>
    </row>
    <row r="28" spans="1:9" s="1469" customFormat="1">
      <c r="A28" s="327">
        <v>105</v>
      </c>
      <c r="B28" s="326"/>
      <c r="C28" s="326"/>
      <c r="D28" s="348" t="s">
        <v>499</v>
      </c>
      <c r="F28" s="343" t="s">
        <v>235</v>
      </c>
      <c r="G28" s="348" t="s">
        <v>963</v>
      </c>
      <c r="H28" s="1401"/>
      <c r="I28" s="343">
        <f>-I39</f>
        <v>0</v>
      </c>
    </row>
    <row r="29" spans="1:9" s="1469" customFormat="1">
      <c r="A29" s="1446">
        <v>106</v>
      </c>
      <c r="B29" s="326"/>
      <c r="C29" s="326"/>
      <c r="D29" s="348" t="s">
        <v>500</v>
      </c>
      <c r="F29" s="1402" t="s">
        <v>235</v>
      </c>
      <c r="G29" s="350" t="s">
        <v>501</v>
      </c>
      <c r="H29" s="1449"/>
      <c r="I29" s="1402">
        <f>+'ATT H-9A'!H216</f>
        <v>-1646367</v>
      </c>
    </row>
    <row r="30" spans="1:9" s="1469" customFormat="1">
      <c r="A30" s="1446">
        <v>107</v>
      </c>
      <c r="B30" s="326"/>
      <c r="C30" s="326"/>
      <c r="D30" s="348" t="s">
        <v>496</v>
      </c>
      <c r="F30" s="1438"/>
      <c r="G30" s="765" t="s">
        <v>964</v>
      </c>
      <c r="H30" s="352"/>
      <c r="I30" s="343">
        <f>SUM(I27:I29)</f>
        <v>3091515874.43923</v>
      </c>
    </row>
    <row r="31" spans="1:9" s="1469" customFormat="1">
      <c r="A31" s="1446"/>
      <c r="B31" s="326"/>
      <c r="C31" s="1447"/>
      <c r="D31" s="1447"/>
      <c r="F31" s="1444"/>
      <c r="G31" s="345"/>
      <c r="H31" s="1444"/>
      <c r="I31" s="343"/>
    </row>
    <row r="32" spans="1:9" s="1469" customFormat="1" ht="15.75">
      <c r="A32" s="1446"/>
      <c r="B32" s="326"/>
      <c r="C32" s="1447" t="s">
        <v>3</v>
      </c>
      <c r="D32" s="347"/>
      <c r="F32" s="1444"/>
      <c r="G32" s="345"/>
      <c r="H32" s="1444"/>
      <c r="I32" s="343"/>
    </row>
    <row r="33" spans="1:9" s="1469" customFormat="1">
      <c r="A33" s="1446">
        <v>108</v>
      </c>
      <c r="B33" s="326"/>
      <c r="C33" s="326"/>
      <c r="D33" s="1447" t="s">
        <v>502</v>
      </c>
      <c r="F33" s="1444"/>
      <c r="G33" s="1447" t="s">
        <v>503</v>
      </c>
      <c r="H33" s="1444"/>
      <c r="I33" s="1438">
        <f>+'ATT H-9A'!H221</f>
        <v>3058895950.1362863</v>
      </c>
    </row>
    <row r="34" spans="1:9" s="1469" customFormat="1">
      <c r="A34" s="327">
        <v>109</v>
      </c>
      <c r="B34" s="326"/>
      <c r="C34" s="326"/>
      <c r="D34" s="1447" t="s">
        <v>504</v>
      </c>
      <c r="F34" s="1401" t="s">
        <v>235</v>
      </c>
      <c r="G34" s="345" t="s">
        <v>505</v>
      </c>
      <c r="H34" s="1444"/>
      <c r="I34" s="1438">
        <f>+'ATT H-9A'!H222</f>
        <v>-11056347.51</v>
      </c>
    </row>
    <row r="35" spans="1:9" s="1469" customFormat="1">
      <c r="A35" s="327">
        <v>110</v>
      </c>
      <c r="B35" s="353"/>
      <c r="C35" s="353"/>
      <c r="D35" s="328" t="s">
        <v>506</v>
      </c>
      <c r="F35" s="1403" t="s">
        <v>507</v>
      </c>
      <c r="G35" s="328" t="s">
        <v>508</v>
      </c>
      <c r="H35" s="1403"/>
      <c r="I35" s="1438">
        <f>+'ATT H-9A'!H223</f>
        <v>0</v>
      </c>
    </row>
    <row r="36" spans="1:9" s="1469" customFormat="1">
      <c r="A36" s="327">
        <v>111</v>
      </c>
      <c r="B36" s="353"/>
      <c r="C36" s="353"/>
      <c r="D36" s="328" t="s">
        <v>509</v>
      </c>
      <c r="F36" s="343" t="s">
        <v>235</v>
      </c>
      <c r="G36" s="326" t="s">
        <v>1470</v>
      </c>
      <c r="H36" s="1403"/>
      <c r="I36" s="1438">
        <f>+'ATT H-9A'!H224</f>
        <v>3046798</v>
      </c>
    </row>
    <row r="37" spans="1:9" s="1469" customFormat="1">
      <c r="A37" s="327">
        <v>112</v>
      </c>
      <c r="B37" s="353"/>
      <c r="C37" s="353"/>
      <c r="D37" s="328" t="s">
        <v>510</v>
      </c>
      <c r="F37" s="343" t="s">
        <v>235</v>
      </c>
      <c r="G37" s="348" t="s">
        <v>491</v>
      </c>
      <c r="H37" s="1403"/>
      <c r="I37" s="1438">
        <f>+'ATT H-9A'!H225</f>
        <v>0</v>
      </c>
    </row>
    <row r="38" spans="1:9" s="1469" customFormat="1">
      <c r="A38" s="327">
        <v>113</v>
      </c>
      <c r="B38" s="353"/>
      <c r="C38" s="353"/>
      <c r="D38" s="328" t="s">
        <v>511</v>
      </c>
      <c r="E38" s="355"/>
      <c r="F38" s="356"/>
      <c r="G38" s="766" t="s">
        <v>965</v>
      </c>
      <c r="H38" s="355"/>
      <c r="I38" s="357">
        <f>SUM(I33:I37)</f>
        <v>3050886400.626286</v>
      </c>
    </row>
    <row r="39" spans="1:9" s="1469" customFormat="1">
      <c r="A39" s="327">
        <v>114</v>
      </c>
      <c r="B39" s="353"/>
      <c r="C39" s="353"/>
      <c r="D39" s="328" t="s">
        <v>512</v>
      </c>
      <c r="E39" s="1403"/>
      <c r="F39" s="1434"/>
      <c r="G39" s="328" t="s">
        <v>513</v>
      </c>
      <c r="H39" s="1403"/>
      <c r="I39" s="1438">
        <f>+'ATT H-9A'!H227</f>
        <v>0</v>
      </c>
    </row>
    <row r="40" spans="1:9" s="1469" customFormat="1">
      <c r="A40" s="1446">
        <v>115</v>
      </c>
      <c r="B40" s="326"/>
      <c r="C40" s="326"/>
      <c r="D40" s="1447" t="s">
        <v>496</v>
      </c>
      <c r="E40" s="1444"/>
      <c r="F40" s="346"/>
      <c r="G40" s="345" t="s">
        <v>966</v>
      </c>
      <c r="H40" s="1444"/>
      <c r="I40" s="1438">
        <f>I30</f>
        <v>3091515874.43923</v>
      </c>
    </row>
    <row r="41" spans="1:9" s="1469" customFormat="1" ht="15.75">
      <c r="A41" s="1446">
        <v>116</v>
      </c>
      <c r="B41" s="326"/>
      <c r="C41" s="326"/>
      <c r="D41" s="1447" t="s">
        <v>514</v>
      </c>
      <c r="E41" s="359"/>
      <c r="F41" s="360"/>
      <c r="G41" s="767" t="s">
        <v>967</v>
      </c>
      <c r="H41" s="362"/>
      <c r="I41" s="357">
        <f>I40+I39+I38</f>
        <v>6142402275.0655155</v>
      </c>
    </row>
    <row r="42" spans="1:9" s="1469" customFormat="1">
      <c r="A42" s="1446"/>
      <c r="B42" s="326"/>
      <c r="C42" s="326"/>
      <c r="D42" s="1447"/>
      <c r="E42" s="1444"/>
      <c r="F42" s="346"/>
      <c r="G42" s="326"/>
      <c r="H42" s="1401"/>
      <c r="I42" s="363"/>
    </row>
    <row r="43" spans="1:9" s="1469" customFormat="1">
      <c r="A43" s="327">
        <v>117</v>
      </c>
      <c r="B43" s="326"/>
      <c r="C43" s="326"/>
      <c r="D43" s="1447" t="s">
        <v>515</v>
      </c>
      <c r="E43" s="1427"/>
      <c r="F43" s="1450" t="s">
        <v>511</v>
      </c>
      <c r="G43" s="345" t="s">
        <v>1516</v>
      </c>
      <c r="H43" s="1401"/>
      <c r="I43" s="1292">
        <f>IF(I41&gt;0,I33/(I33++I39+I40),0)</f>
        <v>0.49734815121057407</v>
      </c>
    </row>
    <row r="44" spans="1:9" s="1469" customFormat="1">
      <c r="A44" s="327">
        <v>118</v>
      </c>
      <c r="B44" s="326"/>
      <c r="C44" s="326"/>
      <c r="D44" s="1447" t="s">
        <v>516</v>
      </c>
      <c r="E44" s="346"/>
      <c r="F44" s="1450" t="s">
        <v>512</v>
      </c>
      <c r="G44" s="345" t="s">
        <v>1517</v>
      </c>
      <c r="H44" s="1401"/>
      <c r="I44" s="1292">
        <f>IF(I41&gt;0,I39/(I33+I39+I40),0)</f>
        <v>0</v>
      </c>
    </row>
    <row r="45" spans="1:9" s="1469" customFormat="1">
      <c r="A45" s="327">
        <v>119</v>
      </c>
      <c r="B45" s="326"/>
      <c r="C45" s="326"/>
      <c r="D45" s="1447" t="s">
        <v>517</v>
      </c>
      <c r="E45" s="346"/>
      <c r="F45" s="1450" t="s">
        <v>496</v>
      </c>
      <c r="G45" s="345" t="s">
        <v>1518</v>
      </c>
      <c r="H45" s="1401"/>
      <c r="I45" s="1292">
        <f>IF(I41&gt;0,I40/(I33+I39+I40),0)</f>
        <v>0.50265184878942604</v>
      </c>
    </row>
    <row r="46" spans="1:9" s="1469" customFormat="1">
      <c r="A46" s="327"/>
      <c r="B46" s="326"/>
      <c r="C46" s="326"/>
      <c r="D46" s="1447"/>
      <c r="E46" s="1444"/>
      <c r="F46" s="345"/>
      <c r="G46" s="326"/>
      <c r="H46" s="1401"/>
      <c r="I46" s="363"/>
    </row>
    <row r="47" spans="1:9" s="1469" customFormat="1">
      <c r="A47" s="327">
        <v>120</v>
      </c>
      <c r="B47" s="326"/>
      <c r="C47" s="326"/>
      <c r="D47" s="345" t="s">
        <v>518</v>
      </c>
      <c r="E47" s="1427"/>
      <c r="F47" s="345" t="s">
        <v>511</v>
      </c>
      <c r="G47" s="345" t="s">
        <v>968</v>
      </c>
      <c r="H47" s="1401"/>
      <c r="I47" s="366">
        <f>IF(I38&gt;0,I22/I38,0)</f>
        <v>4.8294090192854799E-2</v>
      </c>
    </row>
    <row r="48" spans="1:9" s="1469" customFormat="1">
      <c r="A48" s="327">
        <v>121</v>
      </c>
      <c r="B48" s="326"/>
      <c r="C48" s="326"/>
      <c r="D48" s="345" t="s">
        <v>519</v>
      </c>
      <c r="E48" s="346"/>
      <c r="F48" s="345" t="s">
        <v>512</v>
      </c>
      <c r="G48" s="345" t="s">
        <v>969</v>
      </c>
      <c r="H48" s="1401"/>
      <c r="I48" s="366">
        <f>IF(I39&gt;0,I24/I39,0)</f>
        <v>0</v>
      </c>
    </row>
    <row r="49" spans="1:9" s="1469" customFormat="1">
      <c r="A49" s="327">
        <v>122</v>
      </c>
      <c r="B49" s="326"/>
      <c r="C49" s="326"/>
      <c r="D49" s="345" t="s">
        <v>520</v>
      </c>
      <c r="E49" s="346" t="s">
        <v>225</v>
      </c>
      <c r="F49" s="345" t="s">
        <v>496</v>
      </c>
      <c r="G49" s="326" t="s">
        <v>226</v>
      </c>
      <c r="H49" s="1401"/>
      <c r="I49" s="367">
        <f>+'ATT H-9A'!H237+0.01</f>
        <v>0.11499999999999999</v>
      </c>
    </row>
    <row r="50" spans="1:9" s="1469" customFormat="1">
      <c r="A50" s="327"/>
      <c r="B50" s="326"/>
      <c r="C50" s="326"/>
      <c r="D50" s="1447"/>
      <c r="E50" s="1444"/>
      <c r="F50" s="345"/>
      <c r="G50" s="326"/>
      <c r="H50" s="1401"/>
      <c r="I50" s="1444"/>
    </row>
    <row r="51" spans="1:9" s="1469" customFormat="1">
      <c r="A51" s="327">
        <v>123</v>
      </c>
      <c r="B51" s="326"/>
      <c r="C51" s="326"/>
      <c r="D51" s="1447" t="s">
        <v>522</v>
      </c>
      <c r="E51" s="1427"/>
      <c r="F51" s="1450" t="s">
        <v>523</v>
      </c>
      <c r="G51" s="345" t="s">
        <v>970</v>
      </c>
      <c r="H51" s="368"/>
      <c r="I51" s="369">
        <f>I47*I43</f>
        <v>2.4018976471813051E-2</v>
      </c>
    </row>
    <row r="52" spans="1:9" s="1469" customFormat="1">
      <c r="A52" s="327">
        <v>124</v>
      </c>
      <c r="B52" s="326"/>
      <c r="C52" s="326"/>
      <c r="D52" s="1447" t="s">
        <v>524</v>
      </c>
      <c r="E52" s="346"/>
      <c r="F52" s="1450" t="s">
        <v>512</v>
      </c>
      <c r="G52" s="345" t="s">
        <v>971</v>
      </c>
      <c r="H52" s="370"/>
      <c r="I52" s="369">
        <f>I48*I44</f>
        <v>0</v>
      </c>
    </row>
    <row r="53" spans="1:9" s="1469" customFormat="1">
      <c r="A53" s="327">
        <v>125</v>
      </c>
      <c r="B53" s="326"/>
      <c r="C53" s="326"/>
      <c r="D53" s="1451" t="s">
        <v>525</v>
      </c>
      <c r="E53" s="1452"/>
      <c r="F53" s="1451" t="s">
        <v>496</v>
      </c>
      <c r="G53" s="339" t="s">
        <v>972</v>
      </c>
      <c r="H53" s="373"/>
      <c r="I53" s="374">
        <f>I49*I45</f>
        <v>5.7804962610783987E-2</v>
      </c>
    </row>
    <row r="54" spans="1:9" s="1469" customFormat="1" ht="15.75">
      <c r="A54" s="1446">
        <v>126</v>
      </c>
      <c r="B54" s="326"/>
      <c r="C54" s="326" t="s">
        <v>526</v>
      </c>
      <c r="D54" s="326"/>
      <c r="E54" s="375"/>
      <c r="F54" s="376"/>
      <c r="G54" s="768" t="s">
        <v>973</v>
      </c>
      <c r="H54" s="378"/>
      <c r="I54" s="379">
        <f>SUM(I51:I53)</f>
        <v>8.1823939082597039E-2</v>
      </c>
    </row>
    <row r="55" spans="1:9" s="1469" customFormat="1" ht="15.75">
      <c r="A55" s="380"/>
      <c r="B55" s="326"/>
      <c r="C55" s="326"/>
      <c r="D55" s="326"/>
      <c r="E55" s="375"/>
      <c r="F55" s="376"/>
      <c r="G55" s="377"/>
      <c r="H55" s="378"/>
      <c r="I55" s="379"/>
    </row>
    <row r="56" spans="1:9" s="1469" customFormat="1" ht="16.5" thickBot="1">
      <c r="A56" s="1446">
        <v>127</v>
      </c>
      <c r="B56" s="326"/>
      <c r="C56" s="326" t="s">
        <v>527</v>
      </c>
      <c r="D56" s="326"/>
      <c r="E56" s="381"/>
      <c r="F56" s="382"/>
      <c r="G56" s="383" t="s">
        <v>974</v>
      </c>
      <c r="H56" s="384"/>
      <c r="I56" s="385">
        <f>+I54*I16</f>
        <v>80083977.355539888</v>
      </c>
    </row>
    <row r="57" spans="1:9" s="1469" customFormat="1" ht="15.75" thickTop="1">
      <c r="A57" s="1446"/>
      <c r="B57" s="1446"/>
      <c r="C57" s="1446"/>
      <c r="D57" s="346"/>
      <c r="E57" s="1444"/>
      <c r="F57" s="1545"/>
      <c r="G57" s="1401"/>
      <c r="H57" s="1401"/>
      <c r="I57" s="369"/>
    </row>
    <row r="58" spans="1:9" s="1469" customFormat="1" ht="15.75">
      <c r="A58" s="1614" t="s">
        <v>227</v>
      </c>
      <c r="B58" s="1614"/>
      <c r="C58" s="1709"/>
      <c r="D58" s="1710"/>
      <c r="E58" s="386"/>
      <c r="F58" s="1711"/>
      <c r="G58" s="324"/>
      <c r="H58" s="324"/>
      <c r="I58" s="387"/>
    </row>
    <row r="59" spans="1:9" s="1469" customFormat="1" ht="15.75">
      <c r="A59" s="328"/>
      <c r="B59" s="328"/>
      <c r="C59" s="1446"/>
      <c r="D59" s="388"/>
      <c r="E59" s="1403"/>
      <c r="F59" s="389"/>
      <c r="G59" s="1444"/>
      <c r="H59" s="1444"/>
      <c r="I59" s="390"/>
    </row>
    <row r="60" spans="1:9" s="1469" customFormat="1">
      <c r="A60" s="1446" t="s">
        <v>101</v>
      </c>
      <c r="B60" s="1446"/>
      <c r="C60" s="697" t="s">
        <v>102</v>
      </c>
      <c r="D60" s="1444"/>
      <c r="E60" s="1444"/>
      <c r="F60" s="389"/>
      <c r="G60" s="1401"/>
      <c r="H60" s="391"/>
      <c r="I60" s="1444"/>
    </row>
    <row r="61" spans="1:9" s="1469" customFormat="1">
      <c r="A61" s="327">
        <v>128</v>
      </c>
      <c r="B61" s="1545"/>
      <c r="C61" s="1446"/>
      <c r="D61" s="1444" t="s">
        <v>228</v>
      </c>
      <c r="E61" s="1444"/>
      <c r="F61" s="691" t="s">
        <v>1497</v>
      </c>
      <c r="G61" s="1457"/>
      <c r="H61" s="1430"/>
      <c r="I61" s="1712">
        <f>+'ATT H-9A'!H249</f>
        <v>0.21</v>
      </c>
    </row>
    <row r="62" spans="1:9" s="1469" customFormat="1">
      <c r="A62" s="327">
        <v>129</v>
      </c>
      <c r="B62" s="1545"/>
      <c r="C62" s="1446"/>
      <c r="D62" s="1430" t="s">
        <v>229</v>
      </c>
      <c r="E62" s="1431"/>
      <c r="F62" s="691" t="s">
        <v>1497</v>
      </c>
      <c r="G62" s="1457"/>
      <c r="H62" s="1430"/>
      <c r="I62" s="1712">
        <f>+'ATT H-9A'!H250</f>
        <v>8.3000000000000004E-2</v>
      </c>
    </row>
    <row r="63" spans="1:9" s="1469" customFormat="1">
      <c r="A63" s="327">
        <v>130</v>
      </c>
      <c r="B63" s="1545"/>
      <c r="C63" s="1446"/>
      <c r="D63" s="1430" t="s">
        <v>230</v>
      </c>
      <c r="E63" s="1430"/>
      <c r="F63" s="1545"/>
      <c r="G63" s="1457" t="s">
        <v>531</v>
      </c>
      <c r="H63" s="1430"/>
      <c r="I63" s="1712">
        <f>+'ATT H-9A'!H251</f>
        <v>0</v>
      </c>
    </row>
    <row r="64" spans="1:9" s="1469" customFormat="1">
      <c r="A64" s="327">
        <v>131</v>
      </c>
      <c r="B64" s="1545"/>
      <c r="C64" s="1446"/>
      <c r="D64" s="1430" t="s">
        <v>231</v>
      </c>
      <c r="E64" s="395" t="s">
        <v>232</v>
      </c>
      <c r="F64" s="1545"/>
      <c r="H64" s="1430"/>
      <c r="I64" s="1712">
        <f>+'ATT H-9A'!H252</f>
        <v>0.27556999999999998</v>
      </c>
    </row>
    <row r="65" spans="1:9" s="1469" customFormat="1">
      <c r="A65" s="327" t="s">
        <v>1471</v>
      </c>
      <c r="B65" s="1545"/>
      <c r="C65" s="1446"/>
      <c r="D65" s="1430" t="s">
        <v>233</v>
      </c>
      <c r="E65" s="1431"/>
      <c r="F65" s="1545"/>
      <c r="G65" s="1444"/>
      <c r="H65" s="1430"/>
      <c r="I65" s="1712">
        <f>+'ATT H-9A'!H253</f>
        <v>0.38039562138508892</v>
      </c>
    </row>
    <row r="66" spans="1:9" s="1469" customFormat="1">
      <c r="A66" s="577" t="s">
        <v>1472</v>
      </c>
      <c r="B66" s="1545"/>
      <c r="D66" s="1469" t="s">
        <v>1473</v>
      </c>
      <c r="E66" s="1473" t="s">
        <v>1474</v>
      </c>
      <c r="F66" s="1545"/>
      <c r="I66" s="1432">
        <f>1*1/(1-I64)</f>
        <v>1.380395621385089</v>
      </c>
    </row>
    <row r="67" spans="1:9" s="1469" customFormat="1">
      <c r="A67" s="327"/>
      <c r="B67" s="1446"/>
      <c r="C67" s="1446"/>
      <c r="D67" s="1444"/>
      <c r="E67" s="1444"/>
      <c r="F67" s="396"/>
      <c r="G67" s="395"/>
      <c r="H67" s="391"/>
      <c r="I67" s="397"/>
    </row>
    <row r="68" spans="1:9" s="1469" customFormat="1">
      <c r="A68" s="327"/>
      <c r="B68" s="1446"/>
      <c r="C68" s="697" t="s">
        <v>234</v>
      </c>
      <c r="D68" s="346"/>
      <c r="E68" s="1444"/>
      <c r="F68" s="691" t="s">
        <v>1498</v>
      </c>
      <c r="G68" s="1401"/>
      <c r="H68" s="391"/>
      <c r="I68" s="398"/>
    </row>
    <row r="69" spans="1:9" s="1469" customFormat="1">
      <c r="A69" s="327">
        <v>133</v>
      </c>
      <c r="B69" s="1545"/>
      <c r="C69" s="1446"/>
      <c r="D69" s="1469" t="s">
        <v>1511</v>
      </c>
      <c r="E69" s="1444"/>
      <c r="F69" s="363" t="s">
        <v>235</v>
      </c>
      <c r="G69" s="326" t="s">
        <v>1499</v>
      </c>
      <c r="H69" s="391"/>
      <c r="I69" s="732">
        <f>+'ATT H-9A'!H257</f>
        <v>-24210.036549714579</v>
      </c>
    </row>
    <row r="70" spans="1:9" s="1469" customFormat="1">
      <c r="A70" s="327">
        <v>134</v>
      </c>
      <c r="B70" s="1545"/>
      <c r="C70" s="1446"/>
      <c r="D70" s="1469" t="s">
        <v>1512</v>
      </c>
      <c r="E70" s="1448"/>
      <c r="F70" s="401"/>
      <c r="G70" s="1290" t="s">
        <v>1490</v>
      </c>
      <c r="H70" s="1480"/>
      <c r="I70" s="1713">
        <f>+I66</f>
        <v>1.380395621385089</v>
      </c>
    </row>
    <row r="71" spans="1:9" s="1469" customFormat="1" ht="15.75">
      <c r="A71" s="327">
        <v>136</v>
      </c>
      <c r="B71" s="1545"/>
      <c r="C71" s="1446"/>
      <c r="D71" s="403" t="s">
        <v>237</v>
      </c>
      <c r="E71" s="355"/>
      <c r="F71" s="404" t="s">
        <v>238</v>
      </c>
      <c r="G71" s="1457" t="s">
        <v>1513</v>
      </c>
      <c r="H71" s="1714"/>
      <c r="I71" s="1715">
        <f>+I69*I70</f>
        <v>-33419.428446798971</v>
      </c>
    </row>
    <row r="72" spans="1:9" s="1469" customFormat="1" ht="15.75">
      <c r="A72" s="327"/>
      <c r="B72" s="1446"/>
      <c r="C72" s="1446"/>
      <c r="D72" s="406"/>
      <c r="E72" s="1453"/>
      <c r="F72" s="1454"/>
      <c r="G72" s="1455"/>
      <c r="H72" s="1461"/>
      <c r="I72" s="1462"/>
    </row>
    <row r="73" spans="1:9" s="1469" customFormat="1" ht="15.75">
      <c r="A73" s="1397"/>
      <c r="B73" s="347"/>
      <c r="C73" s="326" t="s">
        <v>1172</v>
      </c>
      <c r="D73" s="406"/>
      <c r="E73" s="1453"/>
      <c r="F73" s="1454"/>
      <c r="G73" s="1455"/>
      <c r="H73" s="1461"/>
      <c r="I73" s="1462"/>
    </row>
    <row r="74" spans="1:9" s="1469" customFormat="1">
      <c r="A74" s="577" t="s">
        <v>1173</v>
      </c>
      <c r="C74" s="326"/>
      <c r="D74" s="1450" t="s">
        <v>1478</v>
      </c>
      <c r="F74" s="691" t="s">
        <v>1500</v>
      </c>
      <c r="G74" s="1469" t="s">
        <v>1509</v>
      </c>
      <c r="H74" s="1461"/>
      <c r="I74" s="1416">
        <f>'ATT H-9A'!H262</f>
        <v>200448.79128999999</v>
      </c>
    </row>
    <row r="75" spans="1:9" s="1469" customFormat="1">
      <c r="A75" s="577" t="s">
        <v>1175</v>
      </c>
      <c r="C75" s="326"/>
      <c r="D75" s="1450" t="s">
        <v>1480</v>
      </c>
      <c r="F75" s="691" t="s">
        <v>1500</v>
      </c>
      <c r="G75" s="1469" t="s">
        <v>1479</v>
      </c>
      <c r="H75" s="1461"/>
      <c r="I75" s="1416">
        <f>'ATT H-9A'!H263</f>
        <v>-11930299.425162518</v>
      </c>
    </row>
    <row r="76" spans="1:9" s="1469" customFormat="1">
      <c r="A76" s="577" t="s">
        <v>1176</v>
      </c>
      <c r="C76" s="326"/>
      <c r="D76" s="1450" t="s">
        <v>1483</v>
      </c>
      <c r="F76" s="691" t="s">
        <v>1500</v>
      </c>
      <c r="G76" s="1469" t="s">
        <v>1481</v>
      </c>
      <c r="H76" s="1461"/>
      <c r="I76" s="1416">
        <f>'ATT H-9A'!H264</f>
        <v>-504975.05</v>
      </c>
    </row>
    <row r="77" spans="1:9" s="1469" customFormat="1">
      <c r="A77" s="577" t="s">
        <v>1482</v>
      </c>
      <c r="C77" s="326"/>
      <c r="D77" s="1451" t="s">
        <v>1486</v>
      </c>
      <c r="E77" s="651"/>
      <c r="F77" s="652" t="s">
        <v>1500</v>
      </c>
      <c r="G77" s="651" t="s">
        <v>1484</v>
      </c>
      <c r="H77" s="1464"/>
      <c r="I77" s="1718">
        <f>'ATT H-9A'!H265</f>
        <v>343668</v>
      </c>
    </row>
    <row r="78" spans="1:9" s="1469" customFormat="1">
      <c r="A78" s="577" t="s">
        <v>1485</v>
      </c>
      <c r="C78" s="326"/>
      <c r="D78" s="1450" t="s">
        <v>1488</v>
      </c>
      <c r="F78" s="691"/>
      <c r="G78" s="1457" t="str">
        <f>"(Line "&amp;A74&amp;" + "&amp;A75&amp;" + "&amp;A76&amp;" + "&amp;A77&amp;")"</f>
        <v>(Line 136a + 136b + 136c + 136d)</v>
      </c>
      <c r="H78" s="1461"/>
      <c r="I78" s="343">
        <f>SUM(I74:I77)</f>
        <v>-11891157.683872519</v>
      </c>
    </row>
    <row r="79" spans="1:9" s="1469" customFormat="1">
      <c r="A79" s="577" t="s">
        <v>1487</v>
      </c>
      <c r="B79" s="1446"/>
      <c r="D79" s="1452" t="s">
        <v>1512</v>
      </c>
      <c r="E79" s="1460"/>
      <c r="F79" s="644"/>
      <c r="G79" s="1290" t="str">
        <f>"(Line "&amp;A66&amp;")"</f>
        <v>(Line 132b)</v>
      </c>
      <c r="H79" s="1464"/>
      <c r="I79" s="1474">
        <f>I66</f>
        <v>1.380395621385089</v>
      </c>
    </row>
    <row r="80" spans="1:9" s="1469" customFormat="1" ht="15.75">
      <c r="A80" s="577" t="s">
        <v>1489</v>
      </c>
      <c r="B80" s="1446"/>
      <c r="D80" s="1450" t="s">
        <v>1172</v>
      </c>
      <c r="E80" s="1453" t="s">
        <v>101</v>
      </c>
      <c r="G80" s="1457" t="str">
        <f>"(Line "&amp;A78&amp;" * "&amp;A79&amp;")"</f>
        <v>(Line 136e * 136f)</v>
      </c>
      <c r="H80" s="1461"/>
      <c r="I80" s="1715">
        <f>+I78*I79</f>
        <v>-16414502.000017282</v>
      </c>
    </row>
    <row r="81" spans="1:9" s="1469" customFormat="1" ht="15.75">
      <c r="A81" s="1446"/>
      <c r="B81" s="1446"/>
      <c r="C81" s="1446"/>
      <c r="D81" s="1444"/>
      <c r="E81" s="1444"/>
      <c r="F81" s="396"/>
      <c r="G81" s="395"/>
      <c r="H81" s="391"/>
      <c r="I81" s="408"/>
    </row>
    <row r="82" spans="1:9" s="1469" customFormat="1" ht="15.75">
      <c r="A82" s="1446"/>
      <c r="B82" s="1446"/>
      <c r="C82" s="1446"/>
      <c r="D82" s="1444"/>
      <c r="E82" s="1444"/>
      <c r="F82" s="396"/>
      <c r="G82" s="395"/>
      <c r="H82" s="391"/>
      <c r="I82" s="408"/>
    </row>
    <row r="83" spans="1:9" s="1469" customFormat="1" ht="15.75">
      <c r="A83" s="1446">
        <v>137</v>
      </c>
      <c r="B83" s="1545"/>
      <c r="C83" s="409" t="s">
        <v>239</v>
      </c>
      <c r="E83" s="1444" t="s">
        <v>240</v>
      </c>
      <c r="F83" s="389"/>
      <c r="G83" s="1457" t="s">
        <v>1519</v>
      </c>
      <c r="H83" s="1444"/>
      <c r="I83" s="410">
        <f>+I65*(1-I51/I54)*I56</f>
        <v>21521170.343669485</v>
      </c>
    </row>
    <row r="84" spans="1:9" s="1469" customFormat="1">
      <c r="A84" s="1446"/>
      <c r="B84" s="1446"/>
      <c r="C84" s="1446"/>
      <c r="D84" s="1450"/>
      <c r="E84" s="1453"/>
      <c r="F84" s="1470"/>
      <c r="G84" s="1457"/>
      <c r="H84" s="1461"/>
      <c r="I84" s="1716"/>
    </row>
    <row r="85" spans="1:9" s="1469" customFormat="1" ht="16.5" thickBot="1">
      <c r="A85" s="1446">
        <v>138</v>
      </c>
      <c r="B85" s="1545"/>
      <c r="C85" s="413" t="s">
        <v>241</v>
      </c>
      <c r="D85" s="413"/>
      <c r="E85" s="381"/>
      <c r="F85" s="414"/>
      <c r="G85" s="615" t="s">
        <v>1510</v>
      </c>
      <c r="H85" s="415"/>
      <c r="I85" s="416">
        <f>+I83+I71+I80</f>
        <v>5073248.9152054042</v>
      </c>
    </row>
    <row r="86" spans="1:9" s="1469" customFormat="1" ht="15.75" thickTop="1">
      <c r="A86" s="1446"/>
      <c r="B86" s="1446"/>
      <c r="C86" s="1446"/>
      <c r="D86" s="395"/>
      <c r="E86" s="1444"/>
      <c r="F86" s="1545"/>
      <c r="G86" s="417"/>
      <c r="H86" s="418"/>
      <c r="I86" s="419"/>
    </row>
    <row r="87" spans="1:9" s="1469" customFormat="1"/>
    <row r="314" spans="1:6">
      <c r="C314" s="1430"/>
    </row>
    <row r="316" spans="1:6">
      <c r="A316" s="1717"/>
      <c r="B316" s="1717"/>
      <c r="C316" s="1717"/>
      <c r="D316" s="1717"/>
      <c r="E316" s="1717"/>
      <c r="F316" s="1717"/>
    </row>
    <row r="317" spans="1:6">
      <c r="A317" s="1717"/>
      <c r="B317" s="1717"/>
      <c r="C317" s="1717"/>
      <c r="D317" s="1717"/>
      <c r="E317" s="1717"/>
      <c r="F317" s="1717"/>
    </row>
    <row r="318" spans="1:6">
      <c r="A318" s="1717"/>
      <c r="B318" s="1717"/>
      <c r="C318" s="1717"/>
      <c r="D318" s="1717"/>
      <c r="E318" s="1717"/>
      <c r="F318" s="1717"/>
    </row>
    <row r="319" spans="1:6">
      <c r="A319" s="1717"/>
      <c r="B319" s="1717"/>
      <c r="C319" s="1717"/>
      <c r="D319" s="1717"/>
      <c r="E319" s="1717"/>
      <c r="F319" s="1717"/>
    </row>
    <row r="320" spans="1:6">
      <c r="A320" s="1717"/>
      <c r="B320" s="1717"/>
      <c r="C320" s="1717"/>
      <c r="D320" s="1717"/>
      <c r="E320" s="1717"/>
      <c r="F320" s="1717"/>
    </row>
    <row r="321" spans="1:6">
      <c r="A321" s="1717"/>
      <c r="B321" s="1717"/>
      <c r="C321" s="1717"/>
      <c r="D321" s="1717"/>
      <c r="E321" s="1717"/>
      <c r="F321" s="1717"/>
    </row>
    <row r="322" spans="1:6">
      <c r="A322" s="1717"/>
      <c r="B322" s="1717"/>
      <c r="C322" s="1717"/>
      <c r="D322" s="1717"/>
      <c r="E322" s="1717"/>
      <c r="F322" s="1717"/>
    </row>
    <row r="323" spans="1:6">
      <c r="A323" s="1717"/>
      <c r="B323" s="1717"/>
      <c r="C323" s="1717"/>
      <c r="D323" s="1717"/>
      <c r="E323" s="1717"/>
      <c r="F323" s="1717"/>
    </row>
    <row r="324" spans="1:6">
      <c r="A324" s="1717"/>
      <c r="B324" s="1717"/>
      <c r="C324" s="1717"/>
      <c r="D324" s="1717"/>
      <c r="E324" s="1717"/>
      <c r="F324" s="1717"/>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343"/>
  <sheetViews>
    <sheetView topLeftCell="C151" zoomScale="82" zoomScaleNormal="82" workbookViewId="0">
      <selection activeCell="C151" sqref="C151"/>
    </sheetView>
  </sheetViews>
  <sheetFormatPr defaultRowHeight="15"/>
  <cols>
    <col min="1" max="1" width="6.42578125" customWidth="1"/>
    <col min="2" max="2" width="4.28515625" customWidth="1"/>
    <col min="3" max="3" width="60.5703125" customWidth="1"/>
    <col min="4" max="4" width="22.5703125" customWidth="1"/>
    <col min="5" max="5" width="14.140625" customWidth="1"/>
    <col min="6" max="6" width="44.140625" customWidth="1"/>
    <col min="7" max="7" width="19" customWidth="1"/>
    <col min="8" max="8" width="15.7109375" customWidth="1"/>
    <col min="9" max="9" width="18.28515625" customWidth="1"/>
    <col min="10" max="10" width="17.5703125" customWidth="1"/>
    <col min="11" max="11" width="14.5703125" customWidth="1"/>
    <col min="12" max="12" width="16.85546875" customWidth="1"/>
    <col min="13" max="19" width="14.5703125" customWidth="1"/>
    <col min="20" max="20" width="16" customWidth="1"/>
    <col min="21" max="21" width="16.85546875" customWidth="1"/>
    <col min="22" max="22" width="15.140625" customWidth="1"/>
    <col min="23" max="23" width="13.85546875" customWidth="1"/>
    <col min="24" max="24" width="14.5703125" customWidth="1"/>
    <col min="25" max="25" width="22.140625" customWidth="1"/>
    <col min="26" max="26" width="12.85546875" customWidth="1"/>
    <col min="27" max="27" width="14.85546875" customWidth="1"/>
    <col min="28" max="28" width="14.28515625" customWidth="1"/>
    <col min="29" max="29" width="16.140625" customWidth="1"/>
  </cols>
  <sheetData>
    <row r="1" spans="1:17" ht="21" customHeight="1">
      <c r="A1" s="108"/>
      <c r="B1" s="109"/>
      <c r="D1" s="110"/>
      <c r="E1" s="111"/>
      <c r="F1" s="112"/>
      <c r="G1" s="113" t="s">
        <v>344</v>
      </c>
      <c r="H1" s="99"/>
      <c r="I1" s="99"/>
      <c r="J1" s="99"/>
      <c r="K1" s="99"/>
      <c r="L1" s="99"/>
      <c r="M1" s="99"/>
      <c r="N1" s="99"/>
      <c r="O1" s="99"/>
      <c r="P1" s="99"/>
      <c r="Q1" s="99"/>
    </row>
    <row r="2" spans="1:17" ht="21" customHeight="1">
      <c r="A2" s="114"/>
      <c r="B2" s="109"/>
      <c r="D2" s="110"/>
      <c r="E2" s="111"/>
      <c r="F2" s="112"/>
      <c r="H2" s="99"/>
      <c r="I2" s="99"/>
      <c r="J2" s="99"/>
      <c r="K2" s="99"/>
      <c r="L2" s="99"/>
      <c r="M2" s="99"/>
      <c r="N2" s="99"/>
      <c r="O2" s="99"/>
      <c r="P2" s="99"/>
      <c r="Q2" s="115"/>
    </row>
    <row r="3" spans="1:17" ht="21" customHeight="1">
      <c r="A3" s="114"/>
      <c r="B3" s="109"/>
      <c r="D3" s="110"/>
      <c r="E3" s="111"/>
      <c r="F3" s="112"/>
      <c r="G3" s="116" t="s">
        <v>63</v>
      </c>
      <c r="H3" s="99"/>
      <c r="I3" s="99"/>
      <c r="J3" s="99"/>
      <c r="K3" s="99"/>
      <c r="L3" s="99"/>
      <c r="M3" s="99"/>
      <c r="N3" s="99"/>
      <c r="O3" s="99"/>
      <c r="P3" s="99"/>
      <c r="Q3" s="115"/>
    </row>
    <row r="4" spans="1:17" ht="21" thickBot="1">
      <c r="A4" s="117" t="s">
        <v>64</v>
      </c>
      <c r="B4" s="109"/>
      <c r="D4" s="110"/>
      <c r="E4" s="111"/>
      <c r="F4" s="112"/>
      <c r="G4" s="99"/>
      <c r="H4" s="99"/>
      <c r="I4" s="99"/>
      <c r="J4" s="99"/>
      <c r="K4" s="99"/>
      <c r="L4" s="99"/>
      <c r="M4" s="99"/>
      <c r="N4" s="99"/>
      <c r="O4" s="99"/>
      <c r="P4" s="99"/>
      <c r="Q4" s="99"/>
    </row>
    <row r="5" spans="1:17" ht="39" customHeight="1">
      <c r="A5" s="1917" t="s">
        <v>65</v>
      </c>
      <c r="B5" s="1918"/>
      <c r="C5" s="1918"/>
      <c r="D5" s="1918"/>
      <c r="E5" s="1918"/>
      <c r="F5" s="1919"/>
      <c r="G5" s="118" t="s">
        <v>66</v>
      </c>
      <c r="H5" s="119" t="s">
        <v>67</v>
      </c>
      <c r="I5" s="119" t="s">
        <v>68</v>
      </c>
      <c r="J5" s="1920" t="s">
        <v>18</v>
      </c>
      <c r="K5" s="1921"/>
      <c r="L5" s="1921"/>
      <c r="M5" s="1921"/>
      <c r="N5" s="1921"/>
      <c r="O5" s="1921"/>
      <c r="P5" s="1921"/>
      <c r="Q5" s="1922"/>
    </row>
    <row r="6" spans="1:17" ht="15.75">
      <c r="A6" s="120"/>
      <c r="B6" s="121" t="s">
        <v>69</v>
      </c>
      <c r="C6" s="110"/>
      <c r="D6" s="122"/>
      <c r="E6" s="123"/>
      <c r="F6" s="124"/>
      <c r="G6" s="37"/>
      <c r="H6" s="36"/>
      <c r="I6" s="36"/>
      <c r="J6" s="1923"/>
      <c r="K6" s="1924"/>
      <c r="L6" s="1924"/>
      <c r="M6" s="1924"/>
      <c r="N6" s="1924"/>
      <c r="O6" s="1924"/>
      <c r="P6" s="1924"/>
      <c r="Q6" s="1925"/>
    </row>
    <row r="7" spans="1:17" ht="15.75">
      <c r="A7" s="125">
        <v>10</v>
      </c>
      <c r="B7" s="122"/>
      <c r="C7" s="126" t="s">
        <v>188</v>
      </c>
      <c r="D7" s="110"/>
      <c r="E7" s="127" t="s">
        <v>941</v>
      </c>
      <c r="F7" s="133" t="s">
        <v>1116</v>
      </c>
      <c r="G7" s="1229">
        <f>+'9 - Rate Base'!I23</f>
        <v>56749747</v>
      </c>
      <c r="H7" s="1391">
        <f>+G7</f>
        <v>56749747</v>
      </c>
      <c r="I7" s="130">
        <v>0</v>
      </c>
      <c r="J7" s="1926" t="s">
        <v>70</v>
      </c>
      <c r="K7" s="1927"/>
      <c r="L7" s="1927"/>
      <c r="M7" s="1927"/>
      <c r="N7" s="1927"/>
      <c r="O7" s="1927"/>
      <c r="P7" s="1927"/>
      <c r="Q7" s="1928"/>
    </row>
    <row r="8" spans="1:17" ht="15.75">
      <c r="A8" s="125">
        <v>11</v>
      </c>
      <c r="B8" s="122"/>
      <c r="C8" s="126" t="s">
        <v>394</v>
      </c>
      <c r="D8" s="110"/>
      <c r="E8" s="127" t="s">
        <v>941</v>
      </c>
      <c r="F8" s="133" t="s">
        <v>1117</v>
      </c>
      <c r="G8" s="131">
        <v>0</v>
      </c>
      <c r="H8" s="130">
        <v>0</v>
      </c>
      <c r="I8" s="130">
        <v>0</v>
      </c>
      <c r="J8" s="1926"/>
      <c r="K8" s="1927"/>
      <c r="L8" s="1927"/>
      <c r="M8" s="1927"/>
      <c r="N8" s="1927"/>
      <c r="O8" s="1927"/>
      <c r="P8" s="1927"/>
      <c r="Q8" s="1928"/>
    </row>
    <row r="9" spans="1:17" ht="15.75">
      <c r="A9" s="125">
        <v>12</v>
      </c>
      <c r="B9" s="110"/>
      <c r="C9" s="126" t="s">
        <v>396</v>
      </c>
      <c r="D9" s="110"/>
      <c r="E9" s="127" t="s">
        <v>941</v>
      </c>
      <c r="F9" s="133" t="s">
        <v>1118</v>
      </c>
      <c r="G9" s="131">
        <v>0</v>
      </c>
      <c r="H9" s="130">
        <v>0</v>
      </c>
      <c r="I9" s="130">
        <v>0</v>
      </c>
      <c r="J9" s="1926"/>
      <c r="K9" s="1927"/>
      <c r="L9" s="1927"/>
      <c r="M9" s="1927"/>
      <c r="N9" s="1927"/>
      <c r="O9" s="1927"/>
      <c r="P9" s="1927"/>
      <c r="Q9" s="1928"/>
    </row>
    <row r="10" spans="1:17" ht="15.75">
      <c r="A10" s="120"/>
      <c r="B10" s="121" t="s">
        <v>71</v>
      </c>
      <c r="C10" s="110"/>
      <c r="D10" s="110"/>
      <c r="E10" s="132"/>
      <c r="F10" s="133"/>
      <c r="G10" s="37"/>
      <c r="H10" s="36"/>
      <c r="I10" s="36"/>
      <c r="J10" s="134"/>
      <c r="K10" s="135"/>
      <c r="L10" s="135"/>
      <c r="M10" s="135"/>
      <c r="N10" s="135"/>
      <c r="O10" s="135"/>
      <c r="P10" s="135"/>
      <c r="Q10" s="136"/>
    </row>
    <row r="11" spans="1:17" ht="15.75">
      <c r="A11" s="125">
        <v>24</v>
      </c>
      <c r="B11" s="109"/>
      <c r="C11" s="126" t="s">
        <v>406</v>
      </c>
      <c r="D11" s="110"/>
      <c r="E11" s="127" t="s">
        <v>947</v>
      </c>
      <c r="F11" s="133" t="s">
        <v>1119</v>
      </c>
      <c r="G11" s="131">
        <v>0</v>
      </c>
      <c r="H11" s="130">
        <v>0</v>
      </c>
      <c r="I11" s="130">
        <v>0</v>
      </c>
      <c r="J11" s="1926"/>
      <c r="K11" s="1927"/>
      <c r="L11" s="1927"/>
      <c r="M11" s="1927"/>
      <c r="N11" s="1927"/>
      <c r="O11" s="1927"/>
      <c r="P11" s="1927"/>
      <c r="Q11" s="1928"/>
    </row>
    <row r="12" spans="1:17" ht="15.75">
      <c r="A12" s="137"/>
      <c r="B12" s="138" t="s">
        <v>72</v>
      </c>
      <c r="C12" s="139"/>
      <c r="D12" s="140"/>
      <c r="E12" s="141"/>
      <c r="F12" s="142"/>
      <c r="G12" s="37"/>
      <c r="H12" s="36"/>
      <c r="I12" s="36"/>
      <c r="J12" s="134"/>
      <c r="K12" s="135"/>
      <c r="L12" s="135"/>
      <c r="M12" s="135"/>
      <c r="N12" s="135"/>
      <c r="O12" s="135"/>
      <c r="P12" s="135"/>
      <c r="Q12" s="136"/>
    </row>
    <row r="13" spans="1:17" ht="15.75">
      <c r="A13" s="125">
        <v>41</v>
      </c>
      <c r="B13" s="140"/>
      <c r="C13" s="126" t="s">
        <v>419</v>
      </c>
      <c r="D13" s="143"/>
      <c r="E13" s="127" t="s">
        <v>949</v>
      </c>
      <c r="F13" s="133" t="s">
        <v>1114</v>
      </c>
      <c r="G13" s="144">
        <f>+'1B - ADIT EOY'!H289</f>
        <v>1542914</v>
      </c>
      <c r="H13" s="129">
        <f>+G13</f>
        <v>1542914</v>
      </c>
      <c r="I13" s="130">
        <v>0</v>
      </c>
      <c r="J13" s="1926" t="s">
        <v>70</v>
      </c>
      <c r="K13" s="1927"/>
      <c r="L13" s="1927"/>
      <c r="M13" s="1927"/>
      <c r="N13" s="1927"/>
      <c r="O13" s="1927"/>
      <c r="P13" s="1927"/>
      <c r="Q13" s="1928"/>
    </row>
    <row r="14" spans="1:17" ht="15.75">
      <c r="A14" s="125"/>
      <c r="B14" s="138" t="s">
        <v>73</v>
      </c>
      <c r="C14" s="145"/>
      <c r="D14" s="140"/>
      <c r="E14" s="146"/>
      <c r="F14" s="147"/>
      <c r="G14" s="37"/>
      <c r="H14" s="36"/>
      <c r="I14" s="36"/>
      <c r="J14" s="134"/>
      <c r="K14" s="135"/>
      <c r="L14" s="135"/>
      <c r="M14" s="135"/>
      <c r="N14" s="135"/>
      <c r="O14" s="135"/>
      <c r="P14" s="135"/>
      <c r="Q14" s="136"/>
    </row>
    <row r="15" spans="1:17" ht="15.75" customHeight="1">
      <c r="A15" s="137">
        <v>47</v>
      </c>
      <c r="B15" s="140"/>
      <c r="C15" s="145" t="s">
        <v>430</v>
      </c>
      <c r="D15" s="148"/>
      <c r="E15" s="146" t="s">
        <v>941</v>
      </c>
      <c r="F15" s="149" t="s">
        <v>1120</v>
      </c>
      <c r="G15" s="128">
        <v>0</v>
      </c>
      <c r="H15" s="129">
        <v>0</v>
      </c>
      <c r="I15" s="130">
        <v>0</v>
      </c>
      <c r="J15" s="1926" t="s">
        <v>70</v>
      </c>
      <c r="K15" s="1927"/>
      <c r="L15" s="1927"/>
      <c r="M15" s="1927"/>
      <c r="N15" s="1927"/>
      <c r="O15" s="1927"/>
      <c r="P15" s="1927"/>
      <c r="Q15" s="1928"/>
    </row>
    <row r="16" spans="1:17" ht="15.75">
      <c r="A16" s="125"/>
      <c r="B16" s="121" t="s">
        <v>74</v>
      </c>
      <c r="C16" s="145"/>
      <c r="D16" s="148"/>
      <c r="E16" s="132"/>
      <c r="F16" s="149"/>
      <c r="G16" s="37"/>
      <c r="H16" s="36"/>
      <c r="I16" s="36"/>
      <c r="J16" s="134"/>
      <c r="K16" s="135"/>
      <c r="L16" s="135"/>
      <c r="M16" s="135"/>
      <c r="N16" s="135"/>
      <c r="O16" s="135"/>
      <c r="P16" s="135"/>
      <c r="Q16" s="136"/>
    </row>
    <row r="17" spans="1:17" ht="15.75">
      <c r="A17" s="125">
        <v>65</v>
      </c>
      <c r="B17" s="121"/>
      <c r="C17" s="126" t="s">
        <v>452</v>
      </c>
      <c r="D17" s="148"/>
      <c r="E17" s="127" t="s">
        <v>941</v>
      </c>
      <c r="F17" s="133" t="s">
        <v>453</v>
      </c>
      <c r="G17" s="29"/>
      <c r="H17" s="36"/>
      <c r="I17" s="36"/>
      <c r="J17" s="1364"/>
      <c r="K17" s="1365"/>
      <c r="L17" s="1365"/>
      <c r="M17" s="1365"/>
      <c r="N17" s="1365"/>
      <c r="O17" s="1365"/>
      <c r="P17" s="1365"/>
      <c r="Q17" s="136"/>
    </row>
    <row r="18" spans="1:17" ht="16.5" thickBot="1">
      <c r="A18" s="155">
        <v>67</v>
      </c>
      <c r="B18" s="181"/>
      <c r="C18" s="157" t="s">
        <v>454</v>
      </c>
      <c r="D18" s="158"/>
      <c r="E18" s="159" t="s">
        <v>941</v>
      </c>
      <c r="F18" s="1366" t="s">
        <v>395</v>
      </c>
      <c r="G18" s="160">
        <v>0</v>
      </c>
      <c r="H18" s="161">
        <v>0</v>
      </c>
      <c r="I18" s="161">
        <v>0</v>
      </c>
      <c r="J18" s="1929"/>
      <c r="K18" s="1930"/>
      <c r="L18" s="1930"/>
      <c r="M18" s="1930"/>
      <c r="N18" s="1930"/>
      <c r="O18" s="1930"/>
      <c r="P18" s="1930"/>
      <c r="Q18" s="1931"/>
    </row>
    <row r="19" spans="1:17">
      <c r="G19" s="99"/>
      <c r="H19" s="99"/>
      <c r="I19" s="99"/>
      <c r="J19" s="99"/>
      <c r="K19" s="99"/>
      <c r="L19" s="99"/>
      <c r="M19" s="99"/>
      <c r="N19" s="99"/>
      <c r="O19" s="99"/>
      <c r="P19" s="99"/>
      <c r="Q19" s="99"/>
    </row>
    <row r="20" spans="1:17">
      <c r="G20" s="99"/>
      <c r="H20" s="99"/>
      <c r="I20" s="99"/>
      <c r="J20" s="99"/>
      <c r="K20" s="99"/>
      <c r="L20" s="99"/>
      <c r="M20" s="99"/>
      <c r="N20" s="99"/>
      <c r="O20" s="99"/>
      <c r="P20" s="99"/>
      <c r="Q20" s="99"/>
    </row>
    <row r="21" spans="1:17" ht="21" thickBot="1">
      <c r="A21" s="117" t="s">
        <v>76</v>
      </c>
      <c r="G21" s="99"/>
      <c r="H21" s="99"/>
      <c r="I21" s="99"/>
      <c r="J21" s="99"/>
      <c r="K21" s="99"/>
      <c r="L21" s="99"/>
      <c r="M21" s="99"/>
      <c r="N21" s="99"/>
      <c r="O21" s="99"/>
      <c r="P21" s="99"/>
      <c r="Q21" s="99"/>
    </row>
    <row r="22" spans="1:17" ht="50.25" customHeight="1">
      <c r="A22" s="1917" t="s">
        <v>65</v>
      </c>
      <c r="B22" s="1918"/>
      <c r="C22" s="1918"/>
      <c r="D22" s="1918"/>
      <c r="E22" s="1918"/>
      <c r="F22" s="1919"/>
      <c r="G22" s="119" t="s">
        <v>66</v>
      </c>
      <c r="H22" s="119" t="s">
        <v>77</v>
      </c>
      <c r="I22" s="119" t="s">
        <v>78</v>
      </c>
      <c r="J22" s="1920" t="s">
        <v>18</v>
      </c>
      <c r="K22" s="1921"/>
      <c r="L22" s="1921"/>
      <c r="M22" s="1921"/>
      <c r="N22" s="1921"/>
      <c r="O22" s="1921"/>
      <c r="P22" s="1921"/>
      <c r="Q22" s="1922"/>
    </row>
    <row r="23" spans="1:17" ht="33.75" customHeight="1">
      <c r="A23" s="125">
        <v>28</v>
      </c>
      <c r="B23" s="150"/>
      <c r="C23" s="138" t="s">
        <v>410</v>
      </c>
      <c r="D23" s="162"/>
      <c r="E23" s="127" t="s">
        <v>82</v>
      </c>
      <c r="F23" s="171" t="s">
        <v>1121</v>
      </c>
      <c r="G23" s="1395">
        <v>56908884</v>
      </c>
      <c r="H23" s="1391">
        <v>0</v>
      </c>
      <c r="I23" s="1391">
        <f>+G23-H23</f>
        <v>56908884</v>
      </c>
      <c r="J23" s="1924" t="s">
        <v>79</v>
      </c>
      <c r="K23" s="1924"/>
      <c r="L23" s="1924"/>
      <c r="M23" s="1924"/>
      <c r="N23" s="1924"/>
      <c r="O23" s="1924"/>
      <c r="P23" s="1924"/>
      <c r="Q23" s="1925"/>
    </row>
    <row r="24" spans="1:17" ht="15.75" customHeight="1">
      <c r="A24" s="125"/>
      <c r="B24" s="121" t="s">
        <v>80</v>
      </c>
      <c r="C24" s="140"/>
      <c r="D24" s="148"/>
      <c r="E24" s="164"/>
      <c r="F24" s="142"/>
      <c r="G24" s="63"/>
      <c r="H24" s="63"/>
      <c r="I24" s="63"/>
      <c r="J24" s="1934"/>
      <c r="K24" s="1924"/>
      <c r="L24" s="1924"/>
      <c r="M24" s="1924"/>
      <c r="N24" s="1924"/>
      <c r="O24" s="1924"/>
      <c r="P24" s="1924"/>
      <c r="Q24" s="1925"/>
    </row>
    <row r="25" spans="1:17" ht="15.75">
      <c r="A25" s="125"/>
      <c r="B25" s="154"/>
      <c r="C25" s="126"/>
      <c r="D25" s="148"/>
      <c r="E25" s="127"/>
      <c r="F25" s="163"/>
      <c r="G25" s="36"/>
      <c r="H25" s="165"/>
      <c r="I25" s="36"/>
      <c r="J25" s="36">
        <v>1</v>
      </c>
      <c r="K25" s="36"/>
      <c r="L25" s="36"/>
      <c r="M25" s="36"/>
      <c r="N25" s="36"/>
      <c r="O25" s="36"/>
      <c r="P25" s="36"/>
      <c r="Q25" s="38"/>
    </row>
    <row r="26" spans="1:17" ht="15.75">
      <c r="A26" s="125"/>
      <c r="B26" s="154"/>
      <c r="C26" s="126"/>
      <c r="D26" s="148"/>
      <c r="E26" s="127"/>
      <c r="F26" s="163"/>
      <c r="G26" s="36"/>
      <c r="H26" s="77"/>
      <c r="I26" s="36"/>
      <c r="J26" s="36">
        <v>2</v>
      </c>
      <c r="K26" s="36"/>
      <c r="L26" s="36"/>
      <c r="M26" s="36"/>
      <c r="N26" s="36"/>
      <c r="O26" s="36"/>
      <c r="P26" s="36"/>
      <c r="Q26" s="38"/>
    </row>
    <row r="27" spans="1:17" ht="15.75">
      <c r="A27" s="125"/>
      <c r="B27" s="154"/>
      <c r="C27" s="126"/>
      <c r="D27" s="148"/>
      <c r="E27" s="127"/>
      <c r="F27" s="163"/>
      <c r="G27" s="36"/>
      <c r="H27" s="77"/>
      <c r="I27" s="36"/>
      <c r="J27" s="36">
        <v>3</v>
      </c>
      <c r="K27" s="36"/>
      <c r="L27" s="36"/>
      <c r="M27" s="36"/>
      <c r="N27" s="36"/>
      <c r="O27" s="36"/>
      <c r="P27" s="36"/>
      <c r="Q27" s="38"/>
    </row>
    <row r="28" spans="1:17" ht="15.75">
      <c r="A28" s="125"/>
      <c r="B28" s="154"/>
      <c r="C28" s="126"/>
      <c r="D28" s="148"/>
      <c r="E28" s="127"/>
      <c r="F28" s="163"/>
      <c r="G28" s="36"/>
      <c r="H28" s="77"/>
      <c r="I28" s="36"/>
      <c r="J28" s="36">
        <v>4</v>
      </c>
      <c r="K28" s="36"/>
      <c r="L28" s="36"/>
      <c r="M28" s="36"/>
      <c r="N28" s="36"/>
      <c r="O28" s="36"/>
      <c r="P28" s="36"/>
      <c r="Q28" s="38"/>
    </row>
    <row r="29" spans="1:17" ht="15.75" thickBot="1">
      <c r="A29" s="166"/>
      <c r="B29" s="167"/>
      <c r="C29" s="167"/>
      <c r="D29" s="168"/>
      <c r="E29" s="167"/>
      <c r="F29" s="169"/>
      <c r="G29" s="73"/>
      <c r="H29" s="170"/>
      <c r="I29" s="73"/>
      <c r="J29" s="73">
        <v>5</v>
      </c>
      <c r="K29" s="73"/>
      <c r="L29" s="73"/>
      <c r="M29" s="73"/>
      <c r="N29" s="73"/>
      <c r="O29" s="73"/>
      <c r="P29" s="73"/>
      <c r="Q29" s="74"/>
    </row>
    <row r="30" spans="1:17" ht="20.25">
      <c r="A30" s="117" t="s">
        <v>84</v>
      </c>
      <c r="G30" s="99"/>
      <c r="H30" s="99"/>
      <c r="I30" s="99"/>
      <c r="J30" s="99"/>
      <c r="K30" s="99"/>
      <c r="L30" s="99"/>
      <c r="M30" s="99"/>
      <c r="N30" s="99"/>
      <c r="O30" s="99"/>
      <c r="P30" s="99"/>
      <c r="Q30" s="99"/>
    </row>
    <row r="31" spans="1:17" ht="61.5" customHeight="1">
      <c r="A31" s="1917" t="s">
        <v>65</v>
      </c>
      <c r="B31" s="1918"/>
      <c r="C31" s="1918"/>
      <c r="D31" s="1918"/>
      <c r="E31" s="1918"/>
      <c r="F31" s="1919"/>
      <c r="G31" s="119" t="s">
        <v>66</v>
      </c>
      <c r="H31" s="119" t="s">
        <v>85</v>
      </c>
      <c r="I31" s="119" t="s">
        <v>86</v>
      </c>
      <c r="J31" s="1920" t="s">
        <v>18</v>
      </c>
      <c r="K31" s="1921"/>
      <c r="L31" s="1921"/>
      <c r="M31" s="1921"/>
      <c r="N31" s="1921"/>
      <c r="O31" s="1921"/>
      <c r="P31" s="1921"/>
      <c r="Q31" s="1922"/>
    </row>
    <row r="32" spans="1:17" ht="15.75">
      <c r="A32" s="120"/>
      <c r="B32" s="121" t="s">
        <v>69</v>
      </c>
      <c r="C32" s="139"/>
      <c r="D32" s="122"/>
      <c r="E32" s="123"/>
      <c r="F32" s="124"/>
      <c r="G32" s="36"/>
      <c r="H32" s="36"/>
      <c r="I32" s="36"/>
      <c r="J32" s="1934"/>
      <c r="K32" s="1924"/>
      <c r="L32" s="1924"/>
      <c r="M32" s="1924"/>
      <c r="N32" s="1924"/>
      <c r="O32" s="1924"/>
      <c r="P32" s="1924"/>
      <c r="Q32" s="1925"/>
    </row>
    <row r="33" spans="1:17" ht="15.75" customHeight="1">
      <c r="A33" s="125">
        <v>6</v>
      </c>
      <c r="B33" s="122"/>
      <c r="C33" s="126" t="s">
        <v>186</v>
      </c>
      <c r="D33" s="110"/>
      <c r="E33" s="127" t="s">
        <v>424</v>
      </c>
      <c r="F33" s="163" t="s">
        <v>1115</v>
      </c>
      <c r="G33" s="1229">
        <f>+'9A - Gross Plant &amp; ARO'!C23</f>
        <v>10093751862</v>
      </c>
      <c r="H33" s="39">
        <v>0</v>
      </c>
      <c r="I33" s="130">
        <v>0</v>
      </c>
      <c r="J33" s="1924"/>
      <c r="K33" s="1924"/>
      <c r="L33" s="1924"/>
      <c r="M33" s="1924"/>
      <c r="N33" s="1924"/>
      <c r="O33" s="1924"/>
      <c r="P33" s="1924"/>
      <c r="Q33" s="1925"/>
    </row>
    <row r="34" spans="1:17" ht="15.75">
      <c r="A34" s="120"/>
      <c r="B34" s="121" t="s">
        <v>71</v>
      </c>
      <c r="C34" s="139"/>
      <c r="D34" s="110"/>
      <c r="E34" s="132"/>
      <c r="F34" s="171"/>
      <c r="G34" s="1393"/>
      <c r="H34" s="36"/>
      <c r="I34" s="36"/>
      <c r="J34" s="1924"/>
      <c r="K34" s="1924"/>
      <c r="L34" s="1924"/>
      <c r="M34" s="1924"/>
      <c r="N34" s="1924"/>
      <c r="O34" s="1924"/>
      <c r="P34" s="1924"/>
      <c r="Q34" s="1925"/>
    </row>
    <row r="35" spans="1:17" ht="15.75">
      <c r="A35" s="125">
        <v>19</v>
      </c>
      <c r="B35" s="109"/>
      <c r="C35" s="126" t="s">
        <v>403</v>
      </c>
      <c r="D35" s="110"/>
      <c r="E35" s="127" t="s">
        <v>424</v>
      </c>
      <c r="F35" s="171" t="s">
        <v>1122</v>
      </c>
      <c r="G35" s="1229">
        <f>+'9 - Rate Base'!C23</f>
        <v>1770704957</v>
      </c>
      <c r="H35" s="39">
        <v>0</v>
      </c>
      <c r="I35" s="39">
        <v>0</v>
      </c>
      <c r="J35" s="1924" t="s">
        <v>87</v>
      </c>
      <c r="K35" s="1924"/>
      <c r="L35" s="1924"/>
      <c r="M35" s="1924"/>
      <c r="N35" s="1924"/>
      <c r="O35" s="1924"/>
      <c r="P35" s="1924"/>
      <c r="Q35" s="1925"/>
    </row>
    <row r="36" spans="1:17" ht="15.75">
      <c r="A36" s="120">
        <v>24</v>
      </c>
      <c r="B36" s="122"/>
      <c r="C36" s="139" t="s">
        <v>406</v>
      </c>
      <c r="D36" s="122"/>
      <c r="E36" s="152" t="s">
        <v>947</v>
      </c>
      <c r="F36" s="175" t="s">
        <v>909</v>
      </c>
      <c r="G36" s="245">
        <v>0</v>
      </c>
      <c r="H36" s="39">
        <v>0</v>
      </c>
      <c r="I36" s="39">
        <v>0</v>
      </c>
      <c r="J36" s="1924"/>
      <c r="K36" s="1924"/>
      <c r="L36" s="1924"/>
      <c r="M36" s="1924"/>
      <c r="N36" s="1924"/>
      <c r="O36" s="1924"/>
      <c r="P36" s="1924"/>
      <c r="Q36" s="1925"/>
    </row>
    <row r="37" spans="1:17" ht="15.75">
      <c r="A37" s="125"/>
      <c r="B37" s="121" t="s">
        <v>88</v>
      </c>
      <c r="C37" s="138"/>
      <c r="D37" s="173"/>
      <c r="E37" s="174"/>
      <c r="F37" s="175"/>
      <c r="G37" s="63"/>
      <c r="H37" s="36"/>
      <c r="I37" s="36"/>
      <c r="J37" s="36"/>
      <c r="K37" s="36"/>
      <c r="L37" s="36"/>
      <c r="M37" s="36"/>
      <c r="N37" s="36"/>
      <c r="O37" s="36"/>
      <c r="P37" s="36"/>
      <c r="Q37" s="38"/>
    </row>
    <row r="38" spans="1:17" ht="16.5" thickBot="1">
      <c r="A38" s="155">
        <v>30</v>
      </c>
      <c r="B38" s="176"/>
      <c r="C38" s="157" t="s">
        <v>412</v>
      </c>
      <c r="D38" s="177"/>
      <c r="E38" s="159" t="s">
        <v>424</v>
      </c>
      <c r="F38" s="761" t="s">
        <v>1123</v>
      </c>
      <c r="G38" s="1394">
        <f>+'9 - Rate Base'!F23</f>
        <v>557309701</v>
      </c>
      <c r="H38" s="179">
        <v>0</v>
      </c>
      <c r="I38" s="179">
        <v>0</v>
      </c>
      <c r="J38" s="1932" t="s">
        <v>87</v>
      </c>
      <c r="K38" s="1932"/>
      <c r="L38" s="1932"/>
      <c r="M38" s="1932"/>
      <c r="N38" s="1932"/>
      <c r="O38" s="1932"/>
      <c r="P38" s="1932"/>
      <c r="Q38" s="1933"/>
    </row>
    <row r="39" spans="1:17">
      <c r="G39" s="99"/>
      <c r="H39" s="99"/>
      <c r="I39" s="99"/>
      <c r="J39" s="99"/>
      <c r="K39" s="99"/>
      <c r="L39" s="99"/>
      <c r="M39" s="99"/>
      <c r="N39" s="99"/>
      <c r="O39" s="99"/>
      <c r="P39" s="99"/>
      <c r="Q39" s="99"/>
    </row>
    <row r="40" spans="1:17">
      <c r="G40" s="99"/>
      <c r="H40" s="99"/>
      <c r="I40" s="99"/>
      <c r="J40" s="99"/>
      <c r="K40" s="99"/>
      <c r="L40" s="99"/>
      <c r="M40" s="99"/>
      <c r="N40" s="99"/>
      <c r="O40" s="99"/>
      <c r="P40" s="99"/>
      <c r="Q40" s="99"/>
    </row>
    <row r="41" spans="1:17" ht="21" thickBot="1">
      <c r="A41" s="117" t="s">
        <v>89</v>
      </c>
      <c r="G41" s="99"/>
      <c r="H41" s="99"/>
      <c r="I41" s="99"/>
      <c r="J41" s="99"/>
      <c r="K41" s="99"/>
      <c r="L41" s="99"/>
      <c r="M41" s="99"/>
      <c r="N41" s="99"/>
      <c r="O41" s="99"/>
      <c r="P41" s="99"/>
      <c r="Q41" s="99"/>
    </row>
    <row r="42" spans="1:17" ht="18">
      <c r="A42" s="1917" t="s">
        <v>65</v>
      </c>
      <c r="B42" s="1918"/>
      <c r="C42" s="1918"/>
      <c r="D42" s="1918"/>
      <c r="E42" s="1918"/>
      <c r="F42" s="1919"/>
      <c r="G42" s="119" t="s">
        <v>66</v>
      </c>
      <c r="H42" s="119" t="s">
        <v>90</v>
      </c>
      <c r="I42" s="119"/>
      <c r="J42" s="1920" t="s">
        <v>18</v>
      </c>
      <c r="K42" s="1921"/>
      <c r="L42" s="1921"/>
      <c r="M42" s="1921"/>
      <c r="N42" s="1921"/>
      <c r="O42" s="1921"/>
      <c r="P42" s="1921"/>
      <c r="Q42" s="1922"/>
    </row>
    <row r="43" spans="1:17" ht="15.75">
      <c r="A43" s="125"/>
      <c r="B43" s="121" t="s">
        <v>74</v>
      </c>
      <c r="C43" s="148"/>
      <c r="D43" s="148"/>
      <c r="E43" s="180"/>
      <c r="F43" s="149"/>
      <c r="G43" s="36"/>
      <c r="H43" s="36"/>
      <c r="I43" s="36"/>
      <c r="J43" s="1934"/>
      <c r="K43" s="1924"/>
      <c r="L43" s="1924"/>
      <c r="M43" s="1924"/>
      <c r="N43" s="1924"/>
      <c r="O43" s="1924"/>
      <c r="P43" s="1924"/>
      <c r="Q43" s="1925"/>
    </row>
    <row r="44" spans="1:17" ht="15.75">
      <c r="A44" s="155">
        <v>73</v>
      </c>
      <c r="B44" s="181"/>
      <c r="C44" s="157" t="s">
        <v>465</v>
      </c>
      <c r="D44" s="182"/>
      <c r="E44" s="159" t="s">
        <v>955</v>
      </c>
      <c r="F44" s="761" t="s">
        <v>466</v>
      </c>
      <c r="G44" s="1389">
        <f>413813+77191</f>
        <v>491004</v>
      </c>
      <c r="H44" s="1368">
        <f>+G44</f>
        <v>491004</v>
      </c>
      <c r="I44" s="179"/>
      <c r="J44" s="1932" t="s">
        <v>87</v>
      </c>
      <c r="K44" s="1932"/>
      <c r="L44" s="1932"/>
      <c r="M44" s="1932"/>
      <c r="N44" s="1932"/>
      <c r="O44" s="1932"/>
      <c r="P44" s="1932"/>
      <c r="Q44" s="1933"/>
    </row>
    <row r="45" spans="1:17">
      <c r="G45" s="99"/>
      <c r="H45" s="99"/>
      <c r="I45" s="99"/>
      <c r="J45" s="99"/>
      <c r="K45" s="99"/>
      <c r="L45" s="99"/>
      <c r="M45" s="99"/>
      <c r="N45" s="99"/>
      <c r="O45" s="99"/>
      <c r="P45" s="99"/>
      <c r="Q45" s="99"/>
    </row>
    <row r="46" spans="1:17">
      <c r="G46" s="99"/>
      <c r="H46" s="99"/>
      <c r="I46" s="99"/>
      <c r="J46" s="99"/>
      <c r="K46" s="99"/>
      <c r="L46" s="99"/>
      <c r="M46" s="99"/>
      <c r="N46" s="99"/>
      <c r="O46" s="99"/>
      <c r="P46" s="99"/>
      <c r="Q46" s="99"/>
    </row>
    <row r="47" spans="1:17" ht="21" thickBot="1">
      <c r="A47" s="117" t="s">
        <v>91</v>
      </c>
      <c r="G47" s="99"/>
      <c r="H47" s="99"/>
      <c r="I47" s="99"/>
      <c r="J47" s="99"/>
      <c r="K47" s="99"/>
      <c r="L47" s="99"/>
      <c r="M47" s="99"/>
      <c r="N47" s="99"/>
      <c r="O47" s="99"/>
      <c r="P47" s="99"/>
      <c r="Q47" s="99"/>
    </row>
    <row r="48" spans="1:17" ht="51" customHeight="1">
      <c r="A48" s="1917" t="s">
        <v>65</v>
      </c>
      <c r="B48" s="1918"/>
      <c r="C48" s="1918"/>
      <c r="D48" s="1918"/>
      <c r="E48" s="1918"/>
      <c r="F48" s="1919"/>
      <c r="G48" s="119" t="s">
        <v>66</v>
      </c>
      <c r="H48" s="119" t="s">
        <v>77</v>
      </c>
      <c r="I48" s="119" t="s">
        <v>78</v>
      </c>
      <c r="J48" s="1920" t="s">
        <v>18</v>
      </c>
      <c r="K48" s="1921"/>
      <c r="L48" s="1921"/>
      <c r="M48" s="1921"/>
      <c r="N48" s="1921"/>
      <c r="O48" s="1921"/>
      <c r="P48" s="1921"/>
      <c r="Q48" s="1922"/>
    </row>
    <row r="49" spans="1:17" ht="15.75">
      <c r="A49" s="125"/>
      <c r="B49" s="121" t="s">
        <v>74</v>
      </c>
      <c r="C49" s="148"/>
      <c r="D49" s="148"/>
      <c r="E49" s="180"/>
      <c r="F49" s="149"/>
      <c r="G49" s="36"/>
      <c r="H49" s="36"/>
      <c r="I49" s="36"/>
      <c r="J49" s="36"/>
      <c r="K49" s="36"/>
      <c r="L49" s="36"/>
      <c r="M49" s="36"/>
      <c r="N49" s="36"/>
      <c r="O49" s="36"/>
      <c r="P49" s="36"/>
      <c r="Q49" s="38"/>
    </row>
    <row r="50" spans="1:17" ht="15.75">
      <c r="A50" s="125">
        <v>70</v>
      </c>
      <c r="B50" s="150"/>
      <c r="C50" s="126" t="s">
        <v>460</v>
      </c>
      <c r="D50" s="173"/>
      <c r="E50" s="127" t="s">
        <v>954</v>
      </c>
      <c r="F50" s="163" t="s">
        <v>83</v>
      </c>
      <c r="G50" s="1229">
        <v>7458082.8200000003</v>
      </c>
      <c r="H50" s="1369">
        <v>258933.50000000003</v>
      </c>
      <c r="I50" s="1391">
        <f>+G50-H50</f>
        <v>7199149.3200000003</v>
      </c>
      <c r="J50" s="183" t="s">
        <v>599</v>
      </c>
      <c r="K50" s="184"/>
      <c r="L50" s="184"/>
      <c r="M50" s="184"/>
      <c r="N50" s="184"/>
      <c r="O50" s="184"/>
      <c r="P50" s="184"/>
      <c r="Q50" s="185"/>
    </row>
    <row r="51" spans="1:17" ht="15.75">
      <c r="A51" s="125"/>
      <c r="B51" s="121" t="s">
        <v>80</v>
      </c>
      <c r="C51" s="145"/>
      <c r="D51" s="148"/>
      <c r="E51" s="174"/>
      <c r="F51" s="172"/>
      <c r="G51" s="77"/>
      <c r="H51" s="77"/>
      <c r="I51" s="77"/>
      <c r="J51" s="36"/>
      <c r="K51" s="36"/>
      <c r="L51" s="36"/>
      <c r="M51" s="36"/>
      <c r="N51" s="36"/>
      <c r="O51" s="36"/>
      <c r="P51" s="36"/>
      <c r="Q51" s="38"/>
    </row>
    <row r="52" spans="1:17" ht="16.5" thickBot="1">
      <c r="A52" s="155">
        <v>77</v>
      </c>
      <c r="B52" s="156"/>
      <c r="C52" s="157" t="s">
        <v>81</v>
      </c>
      <c r="D52" s="186"/>
      <c r="E52" s="159" t="s">
        <v>957</v>
      </c>
      <c r="F52" s="178" t="s">
        <v>83</v>
      </c>
      <c r="G52" s="1389">
        <v>7458082.8200000003</v>
      </c>
      <c r="H52" s="1368">
        <v>258933.50000000003</v>
      </c>
      <c r="I52" s="1392">
        <f>+G52-H52</f>
        <v>7199149.3200000003</v>
      </c>
      <c r="J52" s="1942" t="s">
        <v>599</v>
      </c>
      <c r="K52" s="1942"/>
      <c r="L52" s="1942"/>
      <c r="M52" s="1942"/>
      <c r="N52" s="1942"/>
      <c r="O52" s="1942"/>
      <c r="P52" s="1942"/>
      <c r="Q52" s="1943"/>
    </row>
    <row r="53" spans="1:17">
      <c r="G53" s="1202"/>
      <c r="H53" s="1202"/>
      <c r="I53" s="1202"/>
      <c r="J53" s="99"/>
      <c r="K53" s="99"/>
      <c r="L53" s="99"/>
      <c r="M53" s="99"/>
      <c r="N53" s="99"/>
      <c r="O53" s="99"/>
      <c r="P53" s="99"/>
      <c r="Q53" s="99"/>
    </row>
    <row r="54" spans="1:17">
      <c r="G54" s="99"/>
      <c r="H54" s="99"/>
      <c r="I54" s="99"/>
      <c r="J54" s="99"/>
      <c r="K54" s="99"/>
      <c r="L54" s="99"/>
      <c r="M54" s="99"/>
      <c r="N54" s="99"/>
      <c r="O54" s="99"/>
      <c r="P54" s="99"/>
      <c r="Q54" s="99"/>
    </row>
    <row r="55" spans="1:17" ht="21" thickBot="1">
      <c r="A55" s="117" t="s">
        <v>92</v>
      </c>
      <c r="G55" s="99"/>
      <c r="H55" s="99"/>
      <c r="I55" s="99"/>
      <c r="J55" s="99"/>
      <c r="K55" s="99"/>
      <c r="L55" s="99"/>
      <c r="M55" s="99"/>
      <c r="N55" s="99"/>
      <c r="O55" s="99"/>
      <c r="P55" s="99"/>
      <c r="Q55" s="99"/>
    </row>
    <row r="56" spans="1:17" ht="42" customHeight="1">
      <c r="A56" s="1917" t="s">
        <v>65</v>
      </c>
      <c r="B56" s="1918"/>
      <c r="C56" s="1918"/>
      <c r="D56" s="1918"/>
      <c r="E56" s="1918"/>
      <c r="F56" s="1919"/>
      <c r="G56" s="119" t="s">
        <v>66</v>
      </c>
      <c r="H56" s="119" t="s">
        <v>93</v>
      </c>
      <c r="I56" s="119" t="s">
        <v>94</v>
      </c>
      <c r="J56" s="1920" t="s">
        <v>18</v>
      </c>
      <c r="K56" s="1921"/>
      <c r="L56" s="1921"/>
      <c r="M56" s="1921"/>
      <c r="N56" s="1921"/>
      <c r="O56" s="1921"/>
      <c r="P56" s="1921"/>
      <c r="Q56" s="1922"/>
    </row>
    <row r="57" spans="1:17" ht="15.75">
      <c r="A57" s="125"/>
      <c r="B57" s="121" t="s">
        <v>80</v>
      </c>
      <c r="C57" s="140"/>
      <c r="D57" s="148"/>
      <c r="E57" s="164"/>
      <c r="F57" s="142"/>
      <c r="G57" s="36"/>
      <c r="H57" s="36"/>
      <c r="I57" s="36"/>
      <c r="J57" s="36"/>
      <c r="K57" s="36"/>
      <c r="L57" s="36"/>
      <c r="M57" s="36"/>
      <c r="N57" s="36"/>
      <c r="O57" s="36"/>
      <c r="P57" s="36"/>
      <c r="Q57" s="38"/>
    </row>
    <row r="58" spans="1:17" ht="16.5" thickBot="1">
      <c r="A58" s="187">
        <v>81</v>
      </c>
      <c r="B58" s="156"/>
      <c r="C58" s="188" t="s">
        <v>469</v>
      </c>
      <c r="D58" s="158"/>
      <c r="E58" s="189" t="s">
        <v>759</v>
      </c>
      <c r="F58" s="190" t="s">
        <v>462</v>
      </c>
      <c r="G58" s="1389">
        <v>1386252.92</v>
      </c>
      <c r="H58" s="1390">
        <v>0</v>
      </c>
      <c r="I58" s="1368">
        <f>+G58-H58</f>
        <v>1386252.92</v>
      </c>
      <c r="J58" s="1936" t="s">
        <v>95</v>
      </c>
      <c r="K58" s="1936"/>
      <c r="L58" s="1936"/>
      <c r="M58" s="1936"/>
      <c r="N58" s="1936"/>
      <c r="O58" s="1936"/>
      <c r="P58" s="1936"/>
      <c r="Q58" s="1937"/>
    </row>
    <row r="59" spans="1:17" ht="15.75">
      <c r="A59" s="109"/>
      <c r="B59" s="154"/>
      <c r="C59" s="126"/>
      <c r="D59" s="148"/>
      <c r="E59" s="146"/>
      <c r="F59" s="126"/>
      <c r="G59" s="165"/>
      <c r="H59" s="165"/>
      <c r="I59" s="165"/>
      <c r="J59" s="191"/>
      <c r="K59" s="192"/>
      <c r="L59" s="192"/>
      <c r="M59" s="192"/>
      <c r="N59" s="192"/>
      <c r="O59" s="192"/>
      <c r="P59" s="192"/>
      <c r="Q59" s="192"/>
    </row>
    <row r="60" spans="1:17">
      <c r="G60" s="99"/>
      <c r="H60" s="99"/>
      <c r="I60" s="99"/>
      <c r="J60" s="99"/>
      <c r="K60" s="99"/>
      <c r="L60" s="99"/>
      <c r="M60" s="99"/>
      <c r="N60" s="99"/>
      <c r="O60" s="99"/>
      <c r="P60" s="99"/>
      <c r="Q60" s="99"/>
    </row>
    <row r="61" spans="1:17" ht="21" thickBot="1">
      <c r="A61" s="117" t="s">
        <v>1897</v>
      </c>
      <c r="G61" s="99"/>
      <c r="H61" s="99"/>
      <c r="I61" s="99"/>
      <c r="J61" s="99"/>
      <c r="K61" s="99"/>
      <c r="L61" s="99"/>
      <c r="M61" s="99"/>
      <c r="N61" s="99"/>
      <c r="O61" s="99"/>
      <c r="P61" s="99"/>
      <c r="Q61" s="99"/>
    </row>
    <row r="62" spans="1:17" ht="18">
      <c r="A62" s="1917" t="s">
        <v>65</v>
      </c>
      <c r="B62" s="1918"/>
      <c r="C62" s="1918"/>
      <c r="D62" s="1918"/>
      <c r="E62" s="1918"/>
      <c r="F62" s="1919"/>
      <c r="G62" s="119" t="s">
        <v>96</v>
      </c>
      <c r="H62" s="119" t="s">
        <v>97</v>
      </c>
      <c r="I62" s="119" t="s">
        <v>98</v>
      </c>
      <c r="J62" s="119" t="s">
        <v>99</v>
      </c>
      <c r="K62" s="119" t="s">
        <v>100</v>
      </c>
      <c r="L62" s="1920" t="s">
        <v>18</v>
      </c>
      <c r="M62" s="1921"/>
      <c r="N62" s="1921"/>
      <c r="O62" s="1921"/>
      <c r="P62" s="1921"/>
      <c r="Q62" s="1922"/>
    </row>
    <row r="63" spans="1:17" ht="15.75">
      <c r="A63" s="153" t="s">
        <v>101</v>
      </c>
      <c r="B63" s="193" t="s">
        <v>102</v>
      </c>
      <c r="C63" s="110"/>
      <c r="D63" s="110"/>
      <c r="E63" s="164"/>
      <c r="F63" s="194"/>
      <c r="G63" s="36"/>
      <c r="H63" s="36"/>
      <c r="I63" s="36"/>
      <c r="J63" s="36"/>
      <c r="K63" s="36"/>
      <c r="L63" s="36"/>
      <c r="M63" s="36"/>
      <c r="N63" s="36"/>
      <c r="O63" s="36"/>
      <c r="P63" s="36"/>
      <c r="Q63" s="38"/>
    </row>
    <row r="64" spans="1:17" ht="15.75">
      <c r="A64" s="153"/>
      <c r="B64" s="193"/>
      <c r="C64" s="110"/>
      <c r="D64" s="110"/>
      <c r="E64" s="164"/>
      <c r="F64" s="194"/>
      <c r="G64" s="165" t="s">
        <v>103</v>
      </c>
      <c r="H64" s="165" t="s">
        <v>104</v>
      </c>
      <c r="I64" s="165" t="s">
        <v>105</v>
      </c>
      <c r="J64" s="165" t="s">
        <v>105</v>
      </c>
      <c r="K64" s="165" t="s">
        <v>105</v>
      </c>
      <c r="L64" s="1934" t="s">
        <v>106</v>
      </c>
      <c r="M64" s="1938"/>
      <c r="N64" s="1938"/>
      <c r="O64" s="1938"/>
      <c r="P64" s="1938"/>
      <c r="Q64" s="1939"/>
    </row>
    <row r="65" spans="1:18" ht="16.5" customHeight="1" thickBot="1">
      <c r="A65" s="187">
        <v>129</v>
      </c>
      <c r="B65" s="176"/>
      <c r="C65" s="188" t="s">
        <v>229</v>
      </c>
      <c r="D65" s="195"/>
      <c r="E65" s="189" t="s">
        <v>975</v>
      </c>
      <c r="F65" s="196">
        <v>8.3000000000000004E-2</v>
      </c>
      <c r="G65" s="197">
        <v>8.2500000000000004E-2</v>
      </c>
      <c r="H65" s="197">
        <v>8.2500000000000004E-2</v>
      </c>
      <c r="I65" s="179" t="s">
        <v>107</v>
      </c>
      <c r="J65" s="179" t="s">
        <v>107</v>
      </c>
      <c r="K65" s="179" t="s">
        <v>107</v>
      </c>
      <c r="L65" s="1932" t="s">
        <v>1177</v>
      </c>
      <c r="M65" s="1940"/>
      <c r="N65" s="1940"/>
      <c r="O65" s="1940"/>
      <c r="P65" s="1940"/>
      <c r="Q65" s="1941"/>
    </row>
    <row r="66" spans="1:18">
      <c r="G66" s="99"/>
      <c r="H66" s="99"/>
      <c r="I66" s="99"/>
      <c r="J66" s="99"/>
      <c r="K66" s="99"/>
      <c r="L66" s="99"/>
      <c r="M66" s="99"/>
      <c r="N66" s="99"/>
      <c r="O66" s="99"/>
      <c r="P66" s="99"/>
      <c r="Q66" s="99"/>
    </row>
    <row r="67" spans="1:18">
      <c r="G67" s="99"/>
      <c r="H67" s="99"/>
      <c r="I67" s="99"/>
      <c r="J67" s="99"/>
      <c r="K67" s="99"/>
      <c r="L67" s="99"/>
      <c r="M67" s="99"/>
      <c r="N67" s="99"/>
      <c r="O67" s="99"/>
      <c r="P67" s="99"/>
      <c r="Q67" s="99"/>
    </row>
    <row r="68" spans="1:18" ht="21" thickBot="1">
      <c r="A68" s="117" t="s">
        <v>108</v>
      </c>
      <c r="G68" s="99"/>
      <c r="H68" s="99"/>
      <c r="I68" s="99"/>
      <c r="J68" s="99"/>
      <c r="K68" s="99"/>
      <c r="L68" s="99"/>
      <c r="M68" s="99"/>
      <c r="N68" s="99"/>
      <c r="O68" s="99"/>
      <c r="P68" s="99"/>
      <c r="Q68" s="99"/>
    </row>
    <row r="69" spans="1:18" ht="26.25">
      <c r="A69" s="1917" t="s">
        <v>65</v>
      </c>
      <c r="B69" s="1918"/>
      <c r="C69" s="1918"/>
      <c r="D69" s="1918"/>
      <c r="E69" s="1918"/>
      <c r="F69" s="1919"/>
      <c r="G69" s="119" t="s">
        <v>66</v>
      </c>
      <c r="H69" s="119" t="s">
        <v>109</v>
      </c>
      <c r="I69" s="119" t="s">
        <v>110</v>
      </c>
      <c r="J69" s="1920" t="s">
        <v>18</v>
      </c>
      <c r="K69" s="1921"/>
      <c r="L69" s="1921"/>
      <c r="M69" s="1921"/>
      <c r="N69" s="1921"/>
      <c r="O69" s="1921"/>
      <c r="P69" s="1921"/>
      <c r="Q69" s="1922"/>
    </row>
    <row r="70" spans="1:18" ht="15.75">
      <c r="A70" s="125"/>
      <c r="B70" s="121" t="s">
        <v>80</v>
      </c>
      <c r="C70" s="140"/>
      <c r="D70" s="148"/>
      <c r="E70" s="164"/>
      <c r="F70" s="142"/>
      <c r="G70" s="36"/>
      <c r="H70" s="36"/>
      <c r="I70" s="36"/>
      <c r="J70" s="36"/>
      <c r="K70" s="36"/>
      <c r="L70" s="36"/>
      <c r="M70" s="36"/>
      <c r="N70" s="36"/>
      <c r="O70" s="36"/>
      <c r="P70" s="36"/>
      <c r="Q70" s="38"/>
    </row>
    <row r="71" spans="1:18" ht="16.5" thickBot="1">
      <c r="A71" s="187">
        <v>78</v>
      </c>
      <c r="B71" s="156"/>
      <c r="C71" s="188" t="s">
        <v>469</v>
      </c>
      <c r="D71" s="198"/>
      <c r="E71" s="189" t="s">
        <v>757</v>
      </c>
      <c r="F71" s="190" t="s">
        <v>462</v>
      </c>
      <c r="G71" s="1389">
        <v>1386252.92</v>
      </c>
      <c r="H71" s="1390">
        <v>0</v>
      </c>
      <c r="I71" s="1368">
        <f>+G71-H71</f>
        <v>1386252.92</v>
      </c>
      <c r="J71" s="1935" t="s">
        <v>95</v>
      </c>
      <c r="K71" s="1932"/>
      <c r="L71" s="1932"/>
      <c r="M71" s="1932"/>
      <c r="N71" s="1932"/>
      <c r="O71" s="1932"/>
      <c r="P71" s="1932"/>
      <c r="Q71" s="1933"/>
    </row>
    <row r="72" spans="1:18">
      <c r="G72" s="99"/>
      <c r="H72" s="99"/>
      <c r="I72" s="99"/>
      <c r="J72" s="99"/>
      <c r="K72" s="99"/>
      <c r="L72" s="99"/>
      <c r="M72" s="99"/>
      <c r="N72" s="99"/>
      <c r="O72" s="99"/>
      <c r="P72" s="99"/>
      <c r="Q72" s="99"/>
    </row>
    <row r="73" spans="1:18">
      <c r="G73" s="99"/>
      <c r="H73" s="99"/>
      <c r="I73" s="99"/>
      <c r="J73" s="99"/>
      <c r="K73" s="99"/>
      <c r="L73" s="99"/>
      <c r="M73" s="99"/>
      <c r="N73" s="99"/>
      <c r="O73" s="99"/>
      <c r="P73" s="99"/>
      <c r="Q73" s="99"/>
    </row>
    <row r="74" spans="1:18" ht="21" thickBot="1">
      <c r="A74" s="117" t="s">
        <v>111</v>
      </c>
      <c r="G74" s="99"/>
      <c r="H74" s="99"/>
      <c r="I74" s="99"/>
      <c r="J74" s="99"/>
      <c r="K74" s="99"/>
      <c r="L74" s="99"/>
      <c r="M74" s="99"/>
      <c r="N74" s="99"/>
      <c r="O74" s="99"/>
      <c r="P74" s="99"/>
      <c r="Q74" s="99"/>
    </row>
    <row r="75" spans="1:18" ht="26.25">
      <c r="A75" s="1917" t="s">
        <v>65</v>
      </c>
      <c r="B75" s="1918"/>
      <c r="C75" s="1918"/>
      <c r="D75" s="1918"/>
      <c r="E75" s="1918"/>
      <c r="F75" s="1918"/>
      <c r="G75" s="118" t="s">
        <v>540</v>
      </c>
      <c r="H75" s="1920" t="s">
        <v>112</v>
      </c>
      <c r="I75" s="1944"/>
      <c r="J75" s="1944"/>
      <c r="K75" s="1944"/>
      <c r="L75" s="1944"/>
      <c r="M75" s="1944"/>
      <c r="N75" s="1944"/>
      <c r="O75" s="1944"/>
      <c r="P75" s="1944"/>
      <c r="Q75" s="1945"/>
      <c r="R75" s="199"/>
    </row>
    <row r="76" spans="1:18" ht="18">
      <c r="A76" s="200"/>
      <c r="B76" s="201" t="s">
        <v>113</v>
      </c>
      <c r="C76" s="202"/>
      <c r="D76" s="203"/>
      <c r="E76" s="204"/>
      <c r="F76" s="205"/>
      <c r="G76" s="37"/>
      <c r="H76" s="36"/>
      <c r="I76" s="36"/>
      <c r="J76" s="36"/>
      <c r="K76" s="36"/>
      <c r="L76" s="36"/>
      <c r="M76" s="36"/>
      <c r="N76" s="36"/>
      <c r="O76" s="36"/>
      <c r="P76" s="36"/>
      <c r="Q76" s="38"/>
    </row>
    <row r="77" spans="1:18" ht="18">
      <c r="A77" s="125">
        <v>149</v>
      </c>
      <c r="B77" s="150"/>
      <c r="C77" s="126" t="s">
        <v>540</v>
      </c>
      <c r="D77" s="203"/>
      <c r="E77" s="127" t="s">
        <v>976</v>
      </c>
      <c r="F77" s="762" t="s">
        <v>427</v>
      </c>
      <c r="G77" s="206">
        <v>0</v>
      </c>
      <c r="H77" s="1934" t="s">
        <v>114</v>
      </c>
      <c r="I77" s="1924"/>
      <c r="J77" s="1924"/>
      <c r="K77" s="1924"/>
      <c r="L77" s="1924"/>
      <c r="M77" s="1924"/>
      <c r="N77" s="1924"/>
      <c r="O77" s="1924"/>
      <c r="P77" s="1924"/>
      <c r="Q77" s="1925"/>
    </row>
    <row r="78" spans="1:18" ht="18">
      <c r="A78" s="125"/>
      <c r="B78" s="150"/>
      <c r="C78" s="207"/>
      <c r="D78" s="203"/>
      <c r="E78" s="132"/>
      <c r="F78" s="173"/>
      <c r="G78" s="37"/>
      <c r="H78" s="36"/>
      <c r="I78" s="36"/>
      <c r="J78" s="36"/>
      <c r="K78" s="36"/>
      <c r="L78" s="36"/>
      <c r="M78" s="36"/>
      <c r="N78" s="36"/>
      <c r="O78" s="165"/>
      <c r="P78" s="36"/>
      <c r="Q78" s="38"/>
    </row>
    <row r="79" spans="1:18" ht="18">
      <c r="A79" s="125"/>
      <c r="B79" s="150"/>
      <c r="C79" s="207" t="s">
        <v>115</v>
      </c>
      <c r="D79" s="203"/>
      <c r="E79" s="132"/>
      <c r="F79" s="173"/>
      <c r="G79" s="208" t="s">
        <v>116</v>
      </c>
      <c r="H79" s="1934" t="s">
        <v>95</v>
      </c>
      <c r="I79" s="1924"/>
      <c r="J79" s="1924"/>
      <c r="K79" s="1924"/>
      <c r="L79" s="1924"/>
      <c r="M79" s="1924"/>
      <c r="N79" s="1924"/>
      <c r="O79" s="1924"/>
      <c r="P79" s="1924"/>
      <c r="Q79" s="1925"/>
    </row>
    <row r="80" spans="1:18" ht="18">
      <c r="A80" s="125"/>
      <c r="B80" s="150">
        <v>1</v>
      </c>
      <c r="C80" s="207" t="s">
        <v>117</v>
      </c>
      <c r="D80" s="203"/>
      <c r="E80" s="132"/>
      <c r="F80" s="173"/>
      <c r="G80" s="209"/>
      <c r="H80" s="1934"/>
      <c r="I80" s="1924"/>
      <c r="J80" s="1924"/>
      <c r="K80" s="1924"/>
      <c r="L80" s="1924"/>
      <c r="M80" s="1924"/>
      <c r="N80" s="1924"/>
      <c r="O80" s="1924"/>
      <c r="P80" s="1924"/>
      <c r="Q80" s="1925"/>
    </row>
    <row r="81" spans="1:40" ht="18">
      <c r="A81" s="125"/>
      <c r="B81" s="150"/>
      <c r="C81" s="207" t="s">
        <v>118</v>
      </c>
      <c r="D81" s="203"/>
      <c r="E81" s="132"/>
      <c r="F81" s="173"/>
      <c r="G81" s="209"/>
      <c r="H81" s="191"/>
      <c r="I81" s="192"/>
      <c r="J81" s="192"/>
      <c r="K81" s="192"/>
      <c r="L81" s="192"/>
      <c r="M81" s="192"/>
      <c r="N81" s="192"/>
      <c r="O81" s="192"/>
      <c r="P81" s="192"/>
      <c r="Q81" s="210"/>
    </row>
    <row r="82" spans="1:40" ht="18">
      <c r="A82" s="125"/>
      <c r="B82" s="150">
        <v>2</v>
      </c>
      <c r="C82" s="207" t="s">
        <v>119</v>
      </c>
      <c r="D82" s="203"/>
      <c r="E82" s="132"/>
      <c r="F82" s="173"/>
      <c r="G82" s="208" t="s">
        <v>120</v>
      </c>
      <c r="H82" s="1934"/>
      <c r="I82" s="1924"/>
      <c r="J82" s="1924"/>
      <c r="K82" s="1924"/>
      <c r="L82" s="1924"/>
      <c r="M82" s="1924"/>
      <c r="N82" s="1924"/>
      <c r="O82" s="1924"/>
      <c r="P82" s="1924"/>
      <c r="Q82" s="1925"/>
    </row>
    <row r="83" spans="1:40" ht="18">
      <c r="A83" s="125"/>
      <c r="B83" s="150"/>
      <c r="C83" s="207" t="s">
        <v>121</v>
      </c>
      <c r="D83" s="211" t="s">
        <v>122</v>
      </c>
      <c r="E83" s="132"/>
      <c r="F83" s="173"/>
      <c r="G83" s="208" t="s">
        <v>116</v>
      </c>
      <c r="H83" s="1934"/>
      <c r="I83" s="1924"/>
      <c r="J83" s="1924"/>
      <c r="K83" s="1924"/>
      <c r="L83" s="1924"/>
      <c r="M83" s="1924"/>
      <c r="N83" s="1924"/>
      <c r="O83" s="1924"/>
      <c r="P83" s="1924"/>
      <c r="Q83" s="1925"/>
    </row>
    <row r="84" spans="1:40" ht="15.75">
      <c r="A84" s="212"/>
      <c r="B84" s="213" t="s">
        <v>9</v>
      </c>
      <c r="C84" s="207" t="s">
        <v>123</v>
      </c>
      <c r="D84" s="214">
        <v>1000000</v>
      </c>
      <c r="E84" s="105"/>
      <c r="F84" s="105"/>
      <c r="G84" s="209"/>
      <c r="H84" s="1934"/>
      <c r="I84" s="1924"/>
      <c r="J84" s="1924"/>
      <c r="K84" s="1924"/>
      <c r="L84" s="1924"/>
      <c r="M84" s="1924"/>
      <c r="N84" s="1924"/>
      <c r="O84" s="1924"/>
      <c r="P84" s="1924"/>
      <c r="Q84" s="1925"/>
    </row>
    <row r="85" spans="1:40" ht="15.75">
      <c r="A85" s="212"/>
      <c r="B85" s="213" t="s">
        <v>10</v>
      </c>
      <c r="C85" s="207" t="s">
        <v>124</v>
      </c>
      <c r="D85" s="214">
        <v>500000</v>
      </c>
      <c r="E85" s="105"/>
      <c r="F85" s="105"/>
      <c r="G85" s="209"/>
      <c r="H85" s="1934"/>
      <c r="I85" s="1924"/>
      <c r="J85" s="1924"/>
      <c r="K85" s="1924"/>
      <c r="L85" s="1924"/>
      <c r="M85" s="1924"/>
      <c r="N85" s="1924"/>
      <c r="O85" s="1924"/>
      <c r="P85" s="1924"/>
      <c r="Q85" s="1925"/>
    </row>
    <row r="86" spans="1:40" ht="15.75">
      <c r="A86" s="212"/>
      <c r="B86" s="213" t="s">
        <v>11</v>
      </c>
      <c r="C86" s="207" t="s">
        <v>125</v>
      </c>
      <c r="D86" s="214">
        <v>400000</v>
      </c>
      <c r="E86" s="105"/>
      <c r="F86" s="105"/>
      <c r="G86" s="209"/>
      <c r="H86" s="1934"/>
      <c r="I86" s="1924"/>
      <c r="J86" s="1924"/>
      <c r="K86" s="1924"/>
      <c r="L86" s="1924"/>
      <c r="M86" s="1924"/>
      <c r="N86" s="1924"/>
      <c r="O86" s="1924"/>
      <c r="P86" s="1924"/>
      <c r="Q86" s="1925"/>
    </row>
    <row r="87" spans="1:40" ht="15.75">
      <c r="A87" s="212"/>
      <c r="B87" s="213" t="s">
        <v>14</v>
      </c>
      <c r="C87" s="207" t="s">
        <v>126</v>
      </c>
      <c r="D87" s="214">
        <v>444444.44444444444</v>
      </c>
      <c r="E87" s="105"/>
      <c r="F87" s="105"/>
      <c r="G87" s="209"/>
      <c r="H87" s="1934"/>
      <c r="I87" s="1924"/>
      <c r="J87" s="1924"/>
      <c r="K87" s="1924"/>
      <c r="L87" s="1924"/>
      <c r="M87" s="1924"/>
      <c r="N87" s="1924"/>
      <c r="O87" s="1924"/>
      <c r="P87" s="1924"/>
      <c r="Q87" s="1925"/>
    </row>
    <row r="88" spans="1:40" ht="15.75" thickBot="1">
      <c r="A88" s="166"/>
      <c r="B88" s="167"/>
      <c r="C88" s="167"/>
      <c r="D88" s="167"/>
      <c r="E88" s="167"/>
      <c r="F88" s="167"/>
      <c r="G88" s="65"/>
      <c r="H88" s="73"/>
      <c r="I88" s="73"/>
      <c r="J88" s="73"/>
      <c r="K88" s="215" t="s">
        <v>127</v>
      </c>
      <c r="L88" s="73"/>
      <c r="M88" s="73"/>
      <c r="N88" s="73"/>
      <c r="O88" s="73"/>
      <c r="P88" s="73"/>
      <c r="Q88" s="74"/>
    </row>
    <row r="89" spans="1:40">
      <c r="A89" s="216"/>
      <c r="B89" s="216"/>
      <c r="C89" s="216"/>
      <c r="D89" s="216"/>
      <c r="E89" s="216"/>
      <c r="F89" s="216"/>
      <c r="G89" s="36"/>
      <c r="H89" s="36"/>
      <c r="I89" s="36"/>
      <c r="J89" s="36"/>
      <c r="K89" s="217"/>
      <c r="L89" s="36"/>
      <c r="M89" s="36"/>
      <c r="N89" s="36"/>
      <c r="O89" s="36"/>
      <c r="P89" s="36"/>
      <c r="Q89" s="36"/>
    </row>
    <row r="90" spans="1:40">
      <c r="A90" s="216"/>
      <c r="B90" s="216"/>
      <c r="C90" s="216"/>
      <c r="D90" s="216"/>
      <c r="E90" s="216"/>
      <c r="F90" s="216"/>
      <c r="G90" s="36"/>
      <c r="H90" s="36"/>
      <c r="I90" s="36"/>
      <c r="J90" s="36"/>
      <c r="K90" s="217"/>
      <c r="L90" s="36"/>
      <c r="M90" s="36"/>
      <c r="N90" s="36"/>
      <c r="O90" s="36"/>
      <c r="P90" s="36"/>
      <c r="Q90" s="36"/>
    </row>
    <row r="91" spans="1:40" ht="15.75">
      <c r="A91" s="150"/>
      <c r="B91" s="150"/>
      <c r="C91" s="150"/>
      <c r="D91" s="150"/>
      <c r="E91" s="127"/>
      <c r="F91" s="150"/>
      <c r="G91" s="36"/>
      <c r="H91" s="36"/>
      <c r="I91" s="36"/>
      <c r="J91" s="36"/>
      <c r="K91" s="217"/>
      <c r="L91" s="36"/>
      <c r="M91" s="36"/>
      <c r="N91" s="36"/>
      <c r="O91" s="36"/>
      <c r="P91" s="36"/>
      <c r="Q91" s="36"/>
    </row>
    <row r="92" spans="1:40" s="5" customFormat="1" ht="21" thickBot="1">
      <c r="A92" s="1201" t="s">
        <v>130</v>
      </c>
      <c r="G92" s="1202"/>
      <c r="H92" s="1202"/>
      <c r="I92" s="1202"/>
      <c r="J92" s="1202"/>
      <c r="K92" s="1202"/>
      <c r="L92" s="1202"/>
      <c r="M92" s="1202"/>
      <c r="N92" s="1202"/>
      <c r="O92" s="1202"/>
      <c r="P92" s="1202"/>
      <c r="Q92" s="1202"/>
    </row>
    <row r="93" spans="1:40" s="5" customFormat="1" ht="18" customHeight="1">
      <c r="A93" s="1946" t="s">
        <v>65</v>
      </c>
      <c r="B93" s="1947"/>
      <c r="C93" s="1947"/>
      <c r="D93" s="1947"/>
      <c r="E93" s="1947"/>
      <c r="F93" s="1948"/>
      <c r="G93" s="1203"/>
      <c r="H93" s="1204"/>
      <c r="I93" s="1205"/>
      <c r="J93" s="1205"/>
      <c r="K93" s="1205"/>
      <c r="L93" s="1205"/>
      <c r="M93" s="1205"/>
      <c r="N93" s="1205"/>
      <c r="O93" s="1205"/>
      <c r="P93" s="1205"/>
      <c r="Q93" s="1205"/>
      <c r="R93" s="1206"/>
      <c r="S93" s="1206"/>
      <c r="T93" s="1206"/>
      <c r="U93" s="1207"/>
      <c r="V93" s="1208" t="s">
        <v>131</v>
      </c>
      <c r="W93" s="1206"/>
      <c r="X93" s="1206"/>
      <c r="Y93" s="1206"/>
      <c r="Z93" s="1206"/>
      <c r="AA93" s="1206"/>
      <c r="AB93" s="1206"/>
      <c r="AC93" s="1206"/>
      <c r="AD93" s="1206"/>
      <c r="AE93" s="1206"/>
      <c r="AF93" s="1206"/>
      <c r="AG93" s="1206"/>
      <c r="AH93" s="1206"/>
      <c r="AI93" s="1206"/>
      <c r="AJ93" s="1206"/>
      <c r="AK93" s="1206"/>
      <c r="AL93" s="1206"/>
      <c r="AM93" s="1206"/>
      <c r="AN93" s="1207"/>
    </row>
    <row r="94" spans="1:40" s="5" customFormat="1" ht="15.75">
      <c r="A94" s="219">
        <v>45</v>
      </c>
      <c r="B94" s="1209" t="s">
        <v>130</v>
      </c>
      <c r="C94" s="1210"/>
      <c r="D94" s="1209"/>
      <c r="E94" s="1211"/>
      <c r="F94" s="1212"/>
      <c r="G94" s="29"/>
      <c r="H94" s="1213"/>
      <c r="I94" s="1202"/>
      <c r="J94" s="1202"/>
      <c r="K94" s="1202"/>
      <c r="L94" s="1202"/>
      <c r="M94" s="1202"/>
      <c r="N94" s="1202"/>
      <c r="O94" s="1202"/>
      <c r="P94" s="1202"/>
      <c r="Q94" s="1202"/>
      <c r="U94" s="1214"/>
      <c r="V94" s="212"/>
      <c r="AN94" s="1214"/>
    </row>
    <row r="95" spans="1:40" s="5" customFormat="1" ht="26.25">
      <c r="A95" s="137"/>
      <c r="B95" s="1215"/>
      <c r="D95" s="1209"/>
      <c r="F95" s="1216"/>
      <c r="G95" s="1217" t="s">
        <v>635</v>
      </c>
      <c r="H95" s="1158" t="s">
        <v>636</v>
      </c>
      <c r="I95" s="1158" t="s">
        <v>637</v>
      </c>
      <c r="J95" s="1158" t="s">
        <v>638</v>
      </c>
      <c r="K95" s="1158" t="s">
        <v>213</v>
      </c>
      <c r="L95" s="1158" t="s">
        <v>214</v>
      </c>
      <c r="M95" s="1158" t="s">
        <v>215</v>
      </c>
      <c r="N95" s="1158" t="s">
        <v>639</v>
      </c>
      <c r="O95" s="1158" t="s">
        <v>640</v>
      </c>
      <c r="P95" s="1158" t="s">
        <v>641</v>
      </c>
      <c r="Q95" s="1158" t="s">
        <v>642</v>
      </c>
      <c r="R95" s="1158" t="s">
        <v>643</v>
      </c>
      <c r="S95" s="1218" t="s">
        <v>1217</v>
      </c>
      <c r="T95" s="1218" t="s">
        <v>297</v>
      </c>
      <c r="U95" s="1218" t="s">
        <v>1192</v>
      </c>
      <c r="V95" s="212"/>
      <c r="AN95" s="1214"/>
    </row>
    <row r="96" spans="1:40" s="5" customFormat="1" ht="15.75">
      <c r="A96" s="137"/>
      <c r="B96" s="1215"/>
      <c r="C96" s="5" t="s">
        <v>1218</v>
      </c>
      <c r="D96" s="1219"/>
      <c r="F96" s="223"/>
      <c r="G96" s="1220"/>
      <c r="H96" s="1221"/>
      <c r="I96" s="1222"/>
      <c r="J96" s="1222"/>
      <c r="K96" s="1222"/>
      <c r="L96" s="1222"/>
      <c r="M96" s="1222"/>
      <c r="N96" s="1222"/>
      <c r="O96" s="1222"/>
      <c r="P96" s="1222"/>
      <c r="Q96" s="1222"/>
      <c r="T96" s="1223">
        <f>+'ATT H-9A'!H16</f>
        <v>0.10939366197352368</v>
      </c>
      <c r="U96" s="1224" t="s">
        <v>347</v>
      </c>
      <c r="V96" s="212"/>
      <c r="AN96" s="1214"/>
    </row>
    <row r="97" spans="1:40" s="5" customFormat="1" ht="15.75">
      <c r="A97" s="137"/>
      <c r="B97" s="1215"/>
      <c r="C97" s="442" t="s">
        <v>132</v>
      </c>
      <c r="D97" s="1225"/>
      <c r="F97" s="225"/>
      <c r="G97" s="1226">
        <v>5716593.1200000001</v>
      </c>
      <c r="H97" s="1227">
        <v>3811062.08</v>
      </c>
      <c r="I97" s="1227">
        <v>1905531.04</v>
      </c>
      <c r="J97" s="1227">
        <v>5716593.1200000001</v>
      </c>
      <c r="K97" s="1227">
        <v>3811062.08</v>
      </c>
      <c r="L97" s="1227">
        <v>1905531.04</v>
      </c>
      <c r="M97" s="1227">
        <v>5716593.1200000001</v>
      </c>
      <c r="N97" s="1227">
        <v>3811062.08</v>
      </c>
      <c r="O97" s="1227">
        <v>1905531.04</v>
      </c>
      <c r="P97" s="1227">
        <v>5716593.1200000001</v>
      </c>
      <c r="Q97" s="1227">
        <v>3811062.08</v>
      </c>
      <c r="R97" s="1227">
        <v>1905531.04</v>
      </c>
      <c r="S97" s="1227">
        <v>5716593.1200000001</v>
      </c>
      <c r="T97" s="1228">
        <v>0</v>
      </c>
      <c r="U97" s="1224" t="s">
        <v>1520</v>
      </c>
      <c r="V97" s="29" t="s">
        <v>133</v>
      </c>
      <c r="AN97" s="1214"/>
    </row>
    <row r="98" spans="1:40" s="5" customFormat="1" ht="15.75">
      <c r="A98" s="137"/>
      <c r="B98" s="1215"/>
      <c r="C98" s="442" t="s">
        <v>135</v>
      </c>
      <c r="D98" s="1229"/>
      <c r="F98" s="223"/>
      <c r="G98" s="1226">
        <v>1450189.3899999997</v>
      </c>
      <c r="H98" s="1227">
        <v>22670684.390000001</v>
      </c>
      <c r="I98" s="1227">
        <v>18317778.949999999</v>
      </c>
      <c r="J98" s="1227">
        <v>13697343.24</v>
      </c>
      <c r="K98" s="1227">
        <v>9077206.4600000009</v>
      </c>
      <c r="L98" s="1227">
        <v>4456769.6800000006</v>
      </c>
      <c r="M98" s="1227">
        <v>39596.270000001416</v>
      </c>
      <c r="N98" s="1227">
        <v>-4777106.7099999981</v>
      </c>
      <c r="O98" s="1227">
        <v>-9593809.6999999993</v>
      </c>
      <c r="P98" s="1227">
        <v>758778.11000000127</v>
      </c>
      <c r="Q98" s="1227">
        <v>-4057924.879999998</v>
      </c>
      <c r="R98" s="1227">
        <v>-8879726.9099999964</v>
      </c>
      <c r="S98" s="1227">
        <v>518535.67000000365</v>
      </c>
      <c r="T98" s="1228">
        <f>+'Prop taxes to function'!C36/'Prop taxes to function'!C25</f>
        <v>0.22369598357379189</v>
      </c>
      <c r="U98" s="1224" t="s">
        <v>1219</v>
      </c>
      <c r="V98" s="1230" t="s">
        <v>1142</v>
      </c>
      <c r="AN98" s="1214"/>
    </row>
    <row r="99" spans="1:40" s="5" customFormat="1" ht="15.75">
      <c r="A99" s="137"/>
      <c r="B99" s="1215"/>
      <c r="C99" s="103" t="s">
        <v>1405</v>
      </c>
      <c r="D99" s="1229"/>
      <c r="F99" s="223"/>
      <c r="G99" s="1226">
        <v>-0.3</v>
      </c>
      <c r="H99" s="1227">
        <v>453767.2</v>
      </c>
      <c r="I99" s="1227">
        <v>226883.45</v>
      </c>
      <c r="J99" s="1227">
        <v>-0.29999999998835847</v>
      </c>
      <c r="K99" s="1227">
        <v>453767.19</v>
      </c>
      <c r="L99" s="1227">
        <v>226883.44</v>
      </c>
      <c r="M99" s="1227">
        <v>-0.30999999999767169</v>
      </c>
      <c r="N99" s="1227">
        <v>406919.94</v>
      </c>
      <c r="O99" s="1227">
        <v>203459.81</v>
      </c>
      <c r="P99" s="1227">
        <v>-0.32000000000698492</v>
      </c>
      <c r="Q99" s="1227">
        <v>406919.93</v>
      </c>
      <c r="R99" s="1227">
        <v>203459.8</v>
      </c>
      <c r="S99" s="1227">
        <v>-451700.2</v>
      </c>
      <c r="T99" s="1228">
        <f>+T96</f>
        <v>0.10939366197352368</v>
      </c>
      <c r="U99" s="1224" t="s">
        <v>347</v>
      </c>
      <c r="V99" s="1341" t="s">
        <v>1446</v>
      </c>
      <c r="AN99" s="1214"/>
    </row>
    <row r="100" spans="1:40" s="5" customFormat="1" ht="15.75">
      <c r="A100" s="137"/>
      <c r="B100" s="1215"/>
      <c r="C100" s="103" t="s">
        <v>1990</v>
      </c>
      <c r="D100" s="1229"/>
      <c r="F100" s="223"/>
      <c r="G100" s="1226">
        <v>0</v>
      </c>
      <c r="H100" s="1227">
        <v>0</v>
      </c>
      <c r="I100" s="1227">
        <v>345000</v>
      </c>
      <c r="J100" s="1227">
        <v>345000</v>
      </c>
      <c r="K100" s="1227">
        <v>330625</v>
      </c>
      <c r="L100" s="1227">
        <v>301875</v>
      </c>
      <c r="M100" s="1227">
        <v>300601.37</v>
      </c>
      <c r="N100" s="1227">
        <v>299327.74</v>
      </c>
      <c r="O100" s="1227">
        <v>278829.7</v>
      </c>
      <c r="P100" s="1227">
        <v>255631.66</v>
      </c>
      <c r="Q100" s="1227">
        <v>302714.74</v>
      </c>
      <c r="R100" s="1227">
        <v>268387.64</v>
      </c>
      <c r="S100" s="1227">
        <v>227806.51</v>
      </c>
      <c r="T100" s="1228">
        <f>+T96</f>
        <v>0.10939366197352368</v>
      </c>
      <c r="U100" s="1224" t="s">
        <v>347</v>
      </c>
      <c r="V100" s="1341"/>
      <c r="AN100" s="1214"/>
    </row>
    <row r="101" spans="1:40" s="5" customFormat="1" ht="15.75">
      <c r="A101" s="137"/>
      <c r="B101" s="1215"/>
      <c r="C101" s="103" t="s">
        <v>1406</v>
      </c>
      <c r="F101" s="223"/>
      <c r="G101" s="1226">
        <v>263693.44</v>
      </c>
      <c r="H101" s="1227">
        <v>263693.44</v>
      </c>
      <c r="I101" s="1227">
        <v>263693.44</v>
      </c>
      <c r="J101" s="1227">
        <v>163742.78</v>
      </c>
      <c r="K101" s="1227">
        <v>163742.78</v>
      </c>
      <c r="L101" s="1227">
        <v>163742.78</v>
      </c>
      <c r="M101" s="1227">
        <v>234676.51</v>
      </c>
      <c r="N101" s="1227">
        <v>234676.51</v>
      </c>
      <c r="O101" s="1227">
        <v>234676.51</v>
      </c>
      <c r="P101" s="1227">
        <v>243321.74000000002</v>
      </c>
      <c r="Q101" s="1227">
        <v>243321.74000000002</v>
      </c>
      <c r="R101" s="1227">
        <v>243321.74000000002</v>
      </c>
      <c r="S101" s="1227">
        <v>249405.75000000003</v>
      </c>
      <c r="T101" s="1228">
        <f>+T96</f>
        <v>0.10939366197352368</v>
      </c>
      <c r="U101" s="1224" t="s">
        <v>347</v>
      </c>
      <c r="V101" s="1341"/>
      <c r="AN101" s="1214"/>
    </row>
    <row r="102" spans="1:40" s="5" customFormat="1" ht="15.75">
      <c r="A102" s="137"/>
      <c r="B102" s="1215"/>
      <c r="C102" s="103" t="s">
        <v>1404</v>
      </c>
      <c r="F102" s="223"/>
      <c r="G102" s="1226">
        <v>74932.50999999998</v>
      </c>
      <c r="H102" s="1227">
        <v>841980.94</v>
      </c>
      <c r="I102" s="1227">
        <v>804274.49</v>
      </c>
      <c r="J102" s="1227">
        <v>782364.62</v>
      </c>
      <c r="K102" s="1227">
        <v>729820.87</v>
      </c>
      <c r="L102" s="1227">
        <v>695791.54</v>
      </c>
      <c r="M102" s="1227">
        <v>673004.67</v>
      </c>
      <c r="N102" s="1227">
        <v>621270.9</v>
      </c>
      <c r="O102" s="1227">
        <v>582185.53</v>
      </c>
      <c r="P102" s="1227">
        <v>555047.17999999993</v>
      </c>
      <c r="Q102" s="1227">
        <v>508465.45999999996</v>
      </c>
      <c r="R102" s="1227">
        <v>469380.08999999997</v>
      </c>
      <c r="S102" s="1227">
        <v>436808.77999999997</v>
      </c>
      <c r="T102" s="1228">
        <f>+T101</f>
        <v>0.10939366197352368</v>
      </c>
      <c r="U102" s="1224" t="s">
        <v>347</v>
      </c>
      <c r="V102" s="1341" t="s">
        <v>1933</v>
      </c>
      <c r="AN102" s="1214"/>
    </row>
    <row r="103" spans="1:40" s="5" customFormat="1" ht="15.75">
      <c r="A103" s="137"/>
      <c r="B103" s="1215"/>
      <c r="C103" s="103" t="s">
        <v>1989</v>
      </c>
      <c r="F103" s="223"/>
      <c r="G103" s="1226">
        <v>9955</v>
      </c>
      <c r="H103" s="1227">
        <v>9955</v>
      </c>
      <c r="I103" s="1227">
        <v>9955</v>
      </c>
      <c r="J103" s="1227">
        <v>9955</v>
      </c>
      <c r="K103" s="1227">
        <v>9955</v>
      </c>
      <c r="L103" s="1227">
        <v>9955</v>
      </c>
      <c r="M103" s="1227">
        <v>9955</v>
      </c>
      <c r="N103" s="1227">
        <v>9955</v>
      </c>
      <c r="O103" s="1227">
        <v>9955</v>
      </c>
      <c r="P103" s="1227">
        <v>9955</v>
      </c>
      <c r="Q103" s="1227">
        <v>9955</v>
      </c>
      <c r="R103" s="1227">
        <v>0</v>
      </c>
      <c r="S103" s="1227"/>
      <c r="T103" s="1228">
        <v>0</v>
      </c>
      <c r="U103" s="1224" t="s">
        <v>1520</v>
      </c>
      <c r="V103" s="1475"/>
      <c r="AN103" s="1214"/>
    </row>
    <row r="104" spans="1:40" s="5" customFormat="1" ht="15.75">
      <c r="A104" s="137"/>
      <c r="B104" s="1215"/>
      <c r="C104" s="442" t="s">
        <v>1571</v>
      </c>
      <c r="F104" s="223"/>
      <c r="G104" s="1226">
        <v>1951480.02</v>
      </c>
      <c r="H104" s="1227">
        <v>1951480.02</v>
      </c>
      <c r="I104" s="1227">
        <v>1951480.02</v>
      </c>
      <c r="J104" s="1227">
        <v>1495822.0899999999</v>
      </c>
      <c r="K104" s="1227">
        <v>1495822.0899999999</v>
      </c>
      <c r="L104" s="1227">
        <v>1495822.0899999999</v>
      </c>
      <c r="M104" s="1227">
        <v>861267.46000000008</v>
      </c>
      <c r="N104" s="1227">
        <v>861267.46000000008</v>
      </c>
      <c r="O104" s="1227">
        <v>861267.46000000008</v>
      </c>
      <c r="P104" s="1227">
        <v>2604972.3600000003</v>
      </c>
      <c r="Q104" s="1227">
        <v>2604972.3600000003</v>
      </c>
      <c r="R104" s="1227">
        <v>2604972.3600000003</v>
      </c>
      <c r="S104" s="1227">
        <v>1979723.84</v>
      </c>
      <c r="T104" s="1228">
        <v>0</v>
      </c>
      <c r="U104" s="1224" t="s">
        <v>1520</v>
      </c>
      <c r="V104" s="1475"/>
      <c r="AN104" s="1214"/>
    </row>
    <row r="105" spans="1:40" s="5" customFormat="1" ht="15.75">
      <c r="A105" s="137"/>
      <c r="B105" s="1215"/>
      <c r="C105" s="442" t="s">
        <v>1503</v>
      </c>
      <c r="F105" s="223"/>
      <c r="G105" s="1226">
        <v>8211.69</v>
      </c>
      <c r="H105" s="1227">
        <v>0</v>
      </c>
      <c r="I105" s="1227">
        <v>0</v>
      </c>
      <c r="J105" s="1227">
        <v>2924.82</v>
      </c>
      <c r="K105" s="1227">
        <v>0</v>
      </c>
      <c r="L105" s="1227">
        <v>0</v>
      </c>
      <c r="M105" s="1227">
        <v>3254.43</v>
      </c>
      <c r="N105" s="1227">
        <v>0</v>
      </c>
      <c r="O105" s="1227">
        <v>0</v>
      </c>
      <c r="P105" s="1227">
        <v>3584.04</v>
      </c>
      <c r="Q105" s="1227">
        <v>0</v>
      </c>
      <c r="R105" s="1227">
        <v>0</v>
      </c>
      <c r="S105" s="1227">
        <v>3923.03</v>
      </c>
      <c r="T105" s="1228">
        <v>0</v>
      </c>
      <c r="U105" s="1224" t="s">
        <v>1520</v>
      </c>
      <c r="V105" s="1475"/>
      <c r="AN105" s="1214"/>
    </row>
    <row r="106" spans="1:40" s="5" customFormat="1" ht="15.75">
      <c r="A106" s="137"/>
      <c r="B106" s="1215"/>
      <c r="C106" s="442" t="s">
        <v>1504</v>
      </c>
      <c r="F106" s="223"/>
      <c r="G106" s="1226">
        <v>280727</v>
      </c>
      <c r="H106" s="1227">
        <v>0</v>
      </c>
      <c r="I106" s="1227">
        <v>0</v>
      </c>
      <c r="J106" s="1227">
        <v>0</v>
      </c>
      <c r="K106" s="1227">
        <v>0</v>
      </c>
      <c r="L106" s="1227">
        <v>0</v>
      </c>
      <c r="M106" s="1227">
        <v>821264.98</v>
      </c>
      <c r="N106" s="1227">
        <v>821264.98</v>
      </c>
      <c r="O106" s="1227">
        <v>821264.98</v>
      </c>
      <c r="P106" s="1227">
        <v>821264.98</v>
      </c>
      <c r="Q106" s="1227">
        <v>0</v>
      </c>
      <c r="R106" s="1227">
        <v>0</v>
      </c>
      <c r="S106" s="1227">
        <v>2657473.87</v>
      </c>
      <c r="T106" s="1228">
        <v>0</v>
      </c>
      <c r="U106" s="1224" t="s">
        <v>1520</v>
      </c>
      <c r="V106" s="1475"/>
      <c r="AN106" s="1214"/>
    </row>
    <row r="107" spans="1:40" s="5" customFormat="1" ht="31.5" customHeight="1">
      <c r="A107" s="137"/>
      <c r="B107" s="1215"/>
      <c r="C107" s="442" t="s">
        <v>1220</v>
      </c>
      <c r="D107" s="1229"/>
      <c r="F107" s="223" t="s">
        <v>1221</v>
      </c>
      <c r="G107" s="1226">
        <f t="shared" ref="G107:S107" si="0">SUM(G97:G106)</f>
        <v>9755781.8699999992</v>
      </c>
      <c r="H107" s="1231">
        <f t="shared" si="0"/>
        <v>30002623.07</v>
      </c>
      <c r="I107" s="1231">
        <f t="shared" si="0"/>
        <v>23824596.389999997</v>
      </c>
      <c r="J107" s="1231">
        <f t="shared" si="0"/>
        <v>22213745.370000001</v>
      </c>
      <c r="K107" s="1231">
        <f t="shared" si="0"/>
        <v>16072001.469999999</v>
      </c>
      <c r="L107" s="1231">
        <f t="shared" si="0"/>
        <v>9256370.5700000003</v>
      </c>
      <c r="M107" s="1231">
        <f t="shared" si="0"/>
        <v>8660213.5000000019</v>
      </c>
      <c r="N107" s="1231">
        <f t="shared" si="0"/>
        <v>2288637.9000000022</v>
      </c>
      <c r="O107" s="1231">
        <f t="shared" si="0"/>
        <v>-4696639.67</v>
      </c>
      <c r="P107" s="1231">
        <f t="shared" si="0"/>
        <v>10969147.870000001</v>
      </c>
      <c r="Q107" s="1231">
        <f t="shared" si="0"/>
        <v>3829486.4300000025</v>
      </c>
      <c r="R107" s="1231">
        <f t="shared" si="0"/>
        <v>-3184674.2399999965</v>
      </c>
      <c r="S107" s="1231">
        <f t="shared" si="0"/>
        <v>11338570.370000005</v>
      </c>
      <c r="T107" s="1228"/>
      <c r="U107" s="1224"/>
      <c r="V107" s="1914" t="s">
        <v>1222</v>
      </c>
      <c r="W107" s="1915"/>
      <c r="X107" s="1915"/>
      <c r="Y107" s="1915"/>
      <c r="Z107" s="1915"/>
      <c r="AA107" s="1915"/>
      <c r="AB107" s="1915"/>
      <c r="AC107" s="1915"/>
      <c r="AD107" s="1915"/>
      <c r="AE107" s="1915"/>
      <c r="AF107" s="1915"/>
      <c r="AG107" s="1915"/>
      <c r="AH107" s="1915"/>
      <c r="AI107" s="1915"/>
      <c r="AJ107" s="1915"/>
      <c r="AK107" s="1915"/>
      <c r="AL107" s="1915"/>
      <c r="AM107" s="1915"/>
      <c r="AN107" s="1916"/>
    </row>
    <row r="108" spans="1:40" s="5" customFormat="1" ht="15.75">
      <c r="A108" s="137"/>
      <c r="B108" s="1215"/>
      <c r="C108" s="442" t="s">
        <v>136</v>
      </c>
      <c r="D108" s="1229"/>
      <c r="F108" s="223"/>
      <c r="G108" s="1226">
        <v>295522312.29000002</v>
      </c>
      <c r="H108" s="1231">
        <v>294934973.46000004</v>
      </c>
      <c r="I108" s="1231">
        <v>294022781.57000005</v>
      </c>
      <c r="J108" s="1231">
        <v>292911034.68000007</v>
      </c>
      <c r="K108" s="1231">
        <v>291932324.47000009</v>
      </c>
      <c r="L108" s="1231">
        <v>290919260.5800001</v>
      </c>
      <c r="M108" s="1231">
        <v>289906196.69000012</v>
      </c>
      <c r="N108" s="1231">
        <v>288888385.85000014</v>
      </c>
      <c r="O108" s="1231">
        <v>287870575.01000017</v>
      </c>
      <c r="P108" s="1231">
        <v>286852764.1700002</v>
      </c>
      <c r="Q108" s="1231">
        <v>285834953.33000022</v>
      </c>
      <c r="R108" s="1231">
        <v>284817142.49000025</v>
      </c>
      <c r="S108" s="1231">
        <v>283799331.65000027</v>
      </c>
      <c r="T108" s="1228">
        <f>+T96</f>
        <v>0.10939366197352368</v>
      </c>
      <c r="U108" s="1224" t="s">
        <v>347</v>
      </c>
      <c r="V108" s="1230" t="s">
        <v>137</v>
      </c>
      <c r="AN108" s="1214"/>
    </row>
    <row r="109" spans="1:40" s="5" customFormat="1" ht="16.5" thickBot="1">
      <c r="A109" s="1232"/>
      <c r="B109" s="1233"/>
      <c r="C109" s="260" t="s">
        <v>1223</v>
      </c>
      <c r="D109" s="1233"/>
      <c r="E109" s="186"/>
      <c r="F109" s="1233"/>
      <c r="G109" s="1344">
        <f t="shared" ref="G109:S109" si="1">SUMPRODUCT(G96:G106,$T96:$T106)+G108*$T$108</f>
        <v>32689712.978142355</v>
      </c>
      <c r="H109" s="1345">
        <f t="shared" si="1"/>
        <v>37505950.858835459</v>
      </c>
      <c r="I109" s="1345">
        <f t="shared" si="1"/>
        <v>36441231.706241861</v>
      </c>
      <c r="J109" s="1345">
        <f t="shared" si="1"/>
        <v>35247890.318187647</v>
      </c>
      <c r="K109" s="1345">
        <f t="shared" si="1"/>
        <v>34149638.383355767</v>
      </c>
      <c r="L109" s="1345">
        <f t="shared" si="1"/>
        <v>32973555.159513168</v>
      </c>
      <c r="M109" s="1345">
        <f t="shared" si="1"/>
        <v>31854936.430230416</v>
      </c>
      <c r="N109" s="1345">
        <f t="shared" si="1"/>
        <v>30704833.087233547</v>
      </c>
      <c r="O109" s="1345">
        <f t="shared" si="1"/>
        <v>29487238.623219647</v>
      </c>
      <c r="P109" s="1345">
        <f t="shared" si="1"/>
        <v>31664910.883577067</v>
      </c>
      <c r="Q109" s="1345">
        <f t="shared" si="1"/>
        <v>30520661.057547294</v>
      </c>
      <c r="R109" s="1345">
        <f t="shared" si="1"/>
        <v>29300413.147250265</v>
      </c>
      <c r="S109" s="1345">
        <f t="shared" si="1"/>
        <v>31212417.471245095</v>
      </c>
      <c r="T109" s="168"/>
      <c r="U109" s="1234"/>
      <c r="V109" s="1235" t="s">
        <v>1224</v>
      </c>
      <c r="W109" s="168"/>
      <c r="X109" s="168"/>
      <c r="Y109" s="168"/>
      <c r="Z109" s="168"/>
      <c r="AA109" s="168"/>
      <c r="AB109" s="168"/>
      <c r="AC109" s="168"/>
      <c r="AD109" s="168"/>
      <c r="AE109" s="168"/>
      <c r="AF109" s="168"/>
      <c r="AG109" s="168"/>
      <c r="AH109" s="168"/>
      <c r="AI109" s="168"/>
      <c r="AJ109" s="168"/>
      <c r="AK109" s="168"/>
      <c r="AL109" s="168"/>
      <c r="AM109" s="168"/>
      <c r="AN109" s="1234"/>
    </row>
    <row r="110" spans="1:40">
      <c r="A110" s="216"/>
      <c r="B110" s="216"/>
      <c r="C110" s="216"/>
      <c r="D110" s="216"/>
      <c r="E110" s="216"/>
      <c r="F110" s="216"/>
      <c r="G110" s="36"/>
      <c r="H110" s="36"/>
      <c r="I110" s="36"/>
      <c r="J110" s="36"/>
      <c r="K110" s="217"/>
      <c r="L110" s="36"/>
      <c r="M110" s="36"/>
      <c r="N110" s="36"/>
      <c r="O110" s="36"/>
      <c r="P110" s="36"/>
      <c r="Q110" s="36"/>
    </row>
    <row r="111" spans="1:40">
      <c r="A111" s="216"/>
      <c r="B111" s="216"/>
      <c r="H111" s="36"/>
      <c r="I111" s="36"/>
      <c r="J111" s="36"/>
      <c r="K111" s="217"/>
      <c r="L111" s="36"/>
      <c r="M111" s="36"/>
      <c r="N111" s="36"/>
      <c r="O111" s="36"/>
      <c r="P111" s="36"/>
      <c r="Q111" s="36"/>
    </row>
    <row r="112" spans="1:40">
      <c r="A112" s="216"/>
      <c r="B112" s="216"/>
      <c r="C112" s="216"/>
      <c r="D112" s="216"/>
      <c r="E112" s="216"/>
      <c r="F112" s="216"/>
      <c r="G112" s="36"/>
      <c r="H112" s="36"/>
      <c r="I112" s="36"/>
      <c r="J112" s="36"/>
      <c r="K112" s="217"/>
      <c r="L112" s="36"/>
      <c r="M112" s="36"/>
      <c r="N112" s="36"/>
      <c r="O112" s="36"/>
      <c r="P112" s="36"/>
      <c r="Q112" s="36"/>
    </row>
    <row r="113" spans="1:34" s="5" customFormat="1" ht="21" thickBot="1">
      <c r="A113" s="1201" t="s">
        <v>1178</v>
      </c>
      <c r="G113" s="1202"/>
      <c r="H113" s="1202"/>
      <c r="I113" s="1202"/>
      <c r="J113" s="1202"/>
      <c r="K113" s="1202"/>
      <c r="L113" s="1202"/>
      <c r="M113" s="1202"/>
      <c r="N113" s="1202"/>
      <c r="O113" s="1202"/>
      <c r="P113" s="1202"/>
      <c r="Q113" s="1202"/>
    </row>
    <row r="114" spans="1:34" s="5" customFormat="1" ht="18">
      <c r="A114" s="1946" t="s">
        <v>1225</v>
      </c>
      <c r="B114" s="1947"/>
      <c r="C114" s="1947"/>
      <c r="D114" s="1947"/>
      <c r="E114" s="1947"/>
      <c r="F114" s="1948"/>
      <c r="G114" s="29"/>
      <c r="H114" s="1213"/>
      <c r="I114" s="1202"/>
      <c r="J114" s="1202"/>
      <c r="K114" s="1202"/>
      <c r="L114" s="1202"/>
      <c r="M114" s="1202"/>
      <c r="N114" s="1202"/>
      <c r="O114" s="1202"/>
      <c r="P114" s="1202"/>
      <c r="Q114" s="1202"/>
      <c r="U114" s="1214"/>
      <c r="V114" s="1206"/>
      <c r="W114" s="1206"/>
      <c r="X114" s="1206"/>
      <c r="Y114" s="1237"/>
      <c r="Z114" s="1237"/>
      <c r="AA114" s="1237"/>
      <c r="AB114" s="1237"/>
      <c r="AC114" s="1237"/>
      <c r="AD114" s="1237"/>
      <c r="AE114" s="1237"/>
      <c r="AF114" s="1237"/>
      <c r="AG114" s="1237"/>
      <c r="AH114" s="1238"/>
    </row>
    <row r="115" spans="1:34" s="5" customFormat="1" ht="18">
      <c r="A115" s="219">
        <v>44</v>
      </c>
      <c r="B115" s="1209" t="s">
        <v>1178</v>
      </c>
      <c r="C115" s="1239"/>
      <c r="D115" s="1239"/>
      <c r="E115" s="1239"/>
      <c r="F115" s="1239"/>
      <c r="G115" s="29"/>
      <c r="H115" s="1213"/>
      <c r="I115" s="1202"/>
      <c r="J115" s="1202"/>
      <c r="K115" s="1202"/>
      <c r="L115" s="1202"/>
      <c r="M115" s="1202"/>
      <c r="N115" s="1202"/>
      <c r="O115" s="1202"/>
      <c r="P115" s="1202"/>
      <c r="Q115" s="1202"/>
      <c r="U115" s="1214"/>
      <c r="Y115" s="1202"/>
      <c r="Z115" s="1202"/>
      <c r="AA115" s="1202"/>
      <c r="AB115" s="1202"/>
      <c r="AC115" s="1202"/>
      <c r="AD115" s="1202"/>
      <c r="AE115" s="1202"/>
      <c r="AF115" s="1202"/>
      <c r="AG115" s="1202"/>
      <c r="AH115" s="64"/>
    </row>
    <row r="116" spans="1:34" s="5" customFormat="1" ht="75" customHeight="1">
      <c r="A116" s="212"/>
      <c r="C116" s="1949" t="s">
        <v>1226</v>
      </c>
      <c r="D116" s="1949"/>
      <c r="E116" s="1949"/>
      <c r="F116" s="1950"/>
      <c r="G116" s="1240" t="s">
        <v>635</v>
      </c>
      <c r="H116" s="1241" t="s">
        <v>636</v>
      </c>
      <c r="I116" s="1241" t="s">
        <v>637</v>
      </c>
      <c r="J116" s="1241" t="s">
        <v>638</v>
      </c>
      <c r="K116" s="1241" t="s">
        <v>213</v>
      </c>
      <c r="L116" s="1241" t="s">
        <v>214</v>
      </c>
      <c r="M116" s="1241" t="s">
        <v>215</v>
      </c>
      <c r="N116" s="1241" t="s">
        <v>639</v>
      </c>
      <c r="O116" s="1241" t="s">
        <v>640</v>
      </c>
      <c r="P116" s="1241" t="s">
        <v>641</v>
      </c>
      <c r="Q116" s="1241" t="s">
        <v>642</v>
      </c>
      <c r="R116" s="1241" t="s">
        <v>643</v>
      </c>
      <c r="S116" s="1242" t="s">
        <v>1217</v>
      </c>
      <c r="T116" s="1243" t="s">
        <v>1227</v>
      </c>
      <c r="U116" s="1214"/>
      <c r="V116" s="1244" t="s">
        <v>861</v>
      </c>
      <c r="W116" s="1245" t="s">
        <v>1088</v>
      </c>
      <c r="X116" s="1245" t="s">
        <v>1228</v>
      </c>
      <c r="Y116" s="1246" t="s">
        <v>862</v>
      </c>
      <c r="Z116" s="1245" t="s">
        <v>1089</v>
      </c>
      <c r="AA116" s="1245" t="s">
        <v>1228</v>
      </c>
      <c r="AB116" s="1247" t="s">
        <v>1229</v>
      </c>
      <c r="AC116" s="1245" t="s">
        <v>863</v>
      </c>
      <c r="AD116" s="1248"/>
      <c r="AE116" s="1248"/>
      <c r="AF116" s="1249"/>
      <c r="AG116" s="1249"/>
      <c r="AH116" s="1250"/>
    </row>
    <row r="117" spans="1:34" s="5" customFormat="1">
      <c r="A117" s="212"/>
      <c r="C117" s="1251" t="s">
        <v>1230</v>
      </c>
      <c r="G117" s="1266">
        <v>-2528762.0699999994</v>
      </c>
      <c r="H117" s="1266">
        <v>-2528762.0699999994</v>
      </c>
      <c r="I117" s="1266">
        <v>-2508762.0699999994</v>
      </c>
      <c r="J117" s="1266">
        <v>-2558124.919999999</v>
      </c>
      <c r="K117" s="1266">
        <v>-2697964.919999999</v>
      </c>
      <c r="L117" s="1266">
        <v>-2694468.2499999991</v>
      </c>
      <c r="M117" s="1266">
        <v>-2631021.5499999993</v>
      </c>
      <c r="N117" s="1266">
        <v>-2289678.2199999993</v>
      </c>
      <c r="O117" s="1266">
        <v>-2353342.2199999993</v>
      </c>
      <c r="P117" s="1266">
        <v>-2318010.4499999993</v>
      </c>
      <c r="Q117" s="1266">
        <v>-2492630.4499999993</v>
      </c>
      <c r="R117" s="1266">
        <v>-2565629.5899999994</v>
      </c>
      <c r="S117" s="1266">
        <v>-2458753.7399999993</v>
      </c>
      <c r="T117" s="1267">
        <f>SUM(G117:S117)/13</f>
        <v>-2509685.4246153841</v>
      </c>
      <c r="U117" s="1214"/>
      <c r="V117" s="1252">
        <f>+T117</f>
        <v>-2509685.4246153841</v>
      </c>
      <c r="W117" s="1253">
        <f>+'ATT H-9A'!$H$37</f>
        <v>0.18463185447367098</v>
      </c>
      <c r="X117" s="1254">
        <f>+V117*W117</f>
        <v>-463367.87409228075</v>
      </c>
      <c r="Y117" s="1252"/>
      <c r="Z117" s="1253">
        <f>+'ATT H-9A'!$H$16</f>
        <v>0.10939366197352368</v>
      </c>
      <c r="AA117" s="1255">
        <f t="shared" ref="AA117:AA132" si="2">+Z117*Y117</f>
        <v>0</v>
      </c>
      <c r="AC117" s="1255">
        <f>X117+AA117+AB117</f>
        <v>-463367.87409228075</v>
      </c>
      <c r="AF117" s="1202"/>
      <c r="AG117" s="1202"/>
      <c r="AH117" s="64"/>
    </row>
    <row r="118" spans="1:34" s="5" customFormat="1">
      <c r="A118" s="212"/>
      <c r="C118" s="1251" t="s">
        <v>1231</v>
      </c>
      <c r="G118" s="1266">
        <v>-219496</v>
      </c>
      <c r="H118" s="1266">
        <v>-219496</v>
      </c>
      <c r="I118" s="1266">
        <v>-239496</v>
      </c>
      <c r="J118" s="1266">
        <v>-239496</v>
      </c>
      <c r="K118" s="1266">
        <v>-244656</v>
      </c>
      <c r="L118" s="1266">
        <v>-248152.67</v>
      </c>
      <c r="M118" s="1266">
        <v>-248152.67</v>
      </c>
      <c r="N118" s="1266">
        <v>-239496</v>
      </c>
      <c r="O118" s="1266">
        <v>-230467</v>
      </c>
      <c r="P118" s="1266">
        <v>-230937</v>
      </c>
      <c r="Q118" s="1266">
        <v>-231317</v>
      </c>
      <c r="R118" s="1266">
        <v>-233317.86</v>
      </c>
      <c r="S118" s="1266">
        <v>-230467</v>
      </c>
      <c r="T118" s="1268">
        <f>SUM(G118:S118)/13</f>
        <v>-234995.93846153843</v>
      </c>
      <c r="U118" s="1256"/>
      <c r="V118" s="1252"/>
      <c r="W118" s="1253">
        <f>+'ATT H-9A'!$H$37</f>
        <v>0.18463185447367098</v>
      </c>
      <c r="X118" s="1254">
        <f>+V118*W118</f>
        <v>0</v>
      </c>
      <c r="Y118" s="1252">
        <f>+T118</f>
        <v>-234995.93846153843</v>
      </c>
      <c r="Z118" s="1253">
        <f>+'ATT H-9A'!$H$16</f>
        <v>0.10939366197352368</v>
      </c>
      <c r="AA118" s="1255">
        <f t="shared" si="2"/>
        <v>-25707.066257212507</v>
      </c>
      <c r="AC118" s="1255">
        <f t="shared" ref="AC118:AC134" si="3">X118+AA118+AB118</f>
        <v>-25707.066257212507</v>
      </c>
      <c r="AF118" s="1202"/>
      <c r="AG118" s="1202"/>
      <c r="AH118" s="64"/>
    </row>
    <row r="119" spans="1:34" s="5" customFormat="1">
      <c r="A119" s="212"/>
      <c r="C119" s="1251" t="s">
        <v>1232</v>
      </c>
      <c r="G119" s="1266">
        <v>1258481.8399999999</v>
      </c>
      <c r="H119" s="1266">
        <v>1177931.4699999997</v>
      </c>
      <c r="I119" s="1266">
        <v>1299506.9199999997</v>
      </c>
      <c r="J119" s="1266">
        <v>1202929.6699999997</v>
      </c>
      <c r="K119" s="1266">
        <v>1196894.5399999998</v>
      </c>
      <c r="L119" s="1266">
        <v>1277675.0399999998</v>
      </c>
      <c r="M119" s="1266">
        <v>1279276.1099999999</v>
      </c>
      <c r="N119" s="1266">
        <v>1434449.0099999998</v>
      </c>
      <c r="O119" s="1266">
        <v>1386686.4999999998</v>
      </c>
      <c r="P119" s="1266">
        <v>1290578.0399999998</v>
      </c>
      <c r="Q119" s="1266">
        <v>1244693.2199999997</v>
      </c>
      <c r="R119" s="1266">
        <v>1238993.3799999997</v>
      </c>
      <c r="S119" s="1266">
        <v>1235342.8899999997</v>
      </c>
      <c r="T119" s="1268">
        <f t="shared" ref="T119:T136" si="4">SUM(G119:S119)/13</f>
        <v>1271033.7407692308</v>
      </c>
      <c r="U119" s="1256"/>
      <c r="V119" s="1252"/>
      <c r="W119" s="1253">
        <f>+'ATT H-9A'!$H$37</f>
        <v>0.18463185447367098</v>
      </c>
      <c r="X119" s="1254">
        <f t="shared" ref="X119:X132" si="5">+V119*W119</f>
        <v>0</v>
      </c>
      <c r="Y119" s="1252">
        <f t="shared" ref="Y119:Y132" si="6">+T119</f>
        <v>1271033.7407692308</v>
      </c>
      <c r="Z119" s="1253">
        <f>+'ATT H-9A'!$H$16</f>
        <v>0.10939366197352368</v>
      </c>
      <c r="AA119" s="1255">
        <f t="shared" si="2"/>
        <v>139043.03539465254</v>
      </c>
      <c r="AC119" s="1255">
        <f t="shared" si="3"/>
        <v>139043.03539465254</v>
      </c>
      <c r="AF119" s="1202"/>
      <c r="AG119" s="1202"/>
      <c r="AH119" s="64"/>
    </row>
    <row r="120" spans="1:34" s="5" customFormat="1">
      <c r="A120" s="212"/>
      <c r="C120" s="1251" t="s">
        <v>1233</v>
      </c>
      <c r="G120" s="1266">
        <v>6089228.3200000003</v>
      </c>
      <c r="H120" s="1266">
        <v>6142515.0800000001</v>
      </c>
      <c r="I120" s="1266">
        <v>6499018.4800000004</v>
      </c>
      <c r="J120" s="1266">
        <v>6215818.8700000001</v>
      </c>
      <c r="K120" s="1266">
        <v>6198121.6900000004</v>
      </c>
      <c r="L120" s="1266">
        <v>6401933.1300000008</v>
      </c>
      <c r="M120" s="1266">
        <v>6439694.3800000008</v>
      </c>
      <c r="N120" s="1266">
        <v>6894717.6900000004</v>
      </c>
      <c r="O120" s="1266">
        <v>5808817.0300000003</v>
      </c>
      <c r="P120" s="1266">
        <v>5553939.75</v>
      </c>
      <c r="Q120" s="1266">
        <v>5419388.7999999998</v>
      </c>
      <c r="R120" s="1266">
        <v>5402674.7699999996</v>
      </c>
      <c r="S120" s="1266">
        <v>5391970.1999999993</v>
      </c>
      <c r="T120" s="1268">
        <f t="shared" si="4"/>
        <v>6035218.3223076928</v>
      </c>
      <c r="U120" s="1256"/>
      <c r="V120" s="1252"/>
      <c r="W120" s="1253">
        <f>+'ATT H-9A'!$H$37</f>
        <v>0.18463185447367098</v>
      </c>
      <c r="X120" s="1254">
        <f t="shared" si="5"/>
        <v>0</v>
      </c>
      <c r="Y120" s="1252">
        <f t="shared" si="6"/>
        <v>6035218.3223076928</v>
      </c>
      <c r="Z120" s="1253">
        <f>+'ATT H-9A'!$H$16</f>
        <v>0.10939366197352368</v>
      </c>
      <c r="AA120" s="1255">
        <f t="shared" si="2"/>
        <v>660214.63308694446</v>
      </c>
      <c r="AC120" s="1255">
        <f t="shared" si="3"/>
        <v>660214.63308694446</v>
      </c>
      <c r="AF120" s="1202"/>
      <c r="AG120" s="1202"/>
      <c r="AH120" s="64"/>
    </row>
    <row r="121" spans="1:34" s="5" customFormat="1">
      <c r="A121" s="212"/>
      <c r="C121" s="1251" t="s">
        <v>1247</v>
      </c>
      <c r="G121" s="1266">
        <v>-38764089.5</v>
      </c>
      <c r="H121" s="1266">
        <v>-39628170.710000001</v>
      </c>
      <c r="I121" s="1266">
        <v>-39882159.119999997</v>
      </c>
      <c r="J121" s="1266">
        <v>-39546697.019999996</v>
      </c>
      <c r="K121" s="1266">
        <v>-39604963.779999994</v>
      </c>
      <c r="L121" s="1266">
        <v>-39798871.879999995</v>
      </c>
      <c r="M121" s="1266">
        <v>-39163830.779999994</v>
      </c>
      <c r="N121" s="1266">
        <v>-40056438.899999991</v>
      </c>
      <c r="O121" s="1266">
        <v>-35389374.54999999</v>
      </c>
      <c r="P121" s="1266">
        <v>-35359781.449999988</v>
      </c>
      <c r="Q121" s="1266">
        <v>-35459095.269999988</v>
      </c>
      <c r="R121" s="1266">
        <v>-35411427.139999986</v>
      </c>
      <c r="S121" s="1266">
        <v>-35254191.819999985</v>
      </c>
      <c r="T121" s="1268">
        <f t="shared" si="4"/>
        <v>-37947622.455384612</v>
      </c>
      <c r="U121" s="1256"/>
      <c r="V121" s="1252"/>
      <c r="W121" s="1253">
        <f>+'ATT H-9A'!$H$37</f>
        <v>0.18463185447367098</v>
      </c>
      <c r="X121" s="1254"/>
      <c r="Y121" s="1252">
        <f t="shared" si="6"/>
        <v>-37947622.455384612</v>
      </c>
      <c r="Z121" s="1253">
        <f>+'ATT H-9A'!$H$16</f>
        <v>0.10939366197352368</v>
      </c>
      <c r="AA121" s="1255">
        <f t="shared" si="2"/>
        <v>-4151229.3835832411</v>
      </c>
      <c r="AC121" s="1255">
        <f t="shared" si="3"/>
        <v>-4151229.3835832411</v>
      </c>
      <c r="AF121" s="1202"/>
      <c r="AG121" s="1202"/>
      <c r="AH121" s="64"/>
    </row>
    <row r="122" spans="1:34" s="5" customFormat="1">
      <c r="A122" s="212"/>
      <c r="C122" s="1251" t="s">
        <v>1248</v>
      </c>
      <c r="G122" s="1266">
        <v>-3705449.5</v>
      </c>
      <c r="H122" s="1266">
        <v>-3478919.62</v>
      </c>
      <c r="I122" s="1266">
        <v>-3565535.21</v>
      </c>
      <c r="J122" s="1266">
        <v>-3451135.31</v>
      </c>
      <c r="K122" s="1266">
        <v>-3471005.5500000003</v>
      </c>
      <c r="L122" s="1266">
        <v>-3537132.45</v>
      </c>
      <c r="M122" s="1266">
        <v>-3320569.5500000003</v>
      </c>
      <c r="N122" s="1266">
        <v>-3624968.43</v>
      </c>
      <c r="O122" s="1266">
        <v>-3484990.7800000003</v>
      </c>
      <c r="P122" s="1266">
        <v>-3474898.8800000004</v>
      </c>
      <c r="Q122" s="1266">
        <v>-3508767.0600000005</v>
      </c>
      <c r="R122" s="1266">
        <v>-3492511.1900000004</v>
      </c>
      <c r="S122" s="1266">
        <v>-3438890.5100000002</v>
      </c>
      <c r="T122" s="1268">
        <f t="shared" si="4"/>
        <v>-3504213.3876923076</v>
      </c>
      <c r="U122" s="1256"/>
      <c r="V122" s="1252"/>
      <c r="W122" s="1253">
        <f>+'ATT H-9A'!$H$37</f>
        <v>0.18463185447367098</v>
      </c>
      <c r="X122" s="1254"/>
      <c r="Y122" s="1252">
        <f t="shared" si="6"/>
        <v>-3504213.3876923076</v>
      </c>
      <c r="Z122" s="1253">
        <f>+'ATT H-9A'!$H$16</f>
        <v>0.10939366197352368</v>
      </c>
      <c r="AA122" s="1255">
        <f t="shared" si="2"/>
        <v>-383338.7348163086</v>
      </c>
      <c r="AC122" s="1255">
        <f t="shared" si="3"/>
        <v>-383338.7348163086</v>
      </c>
      <c r="AF122" s="1202"/>
      <c r="AG122" s="1202"/>
      <c r="AH122" s="64"/>
    </row>
    <row r="123" spans="1:34" s="5" customFormat="1">
      <c r="A123" s="212"/>
      <c r="C123" s="1251" t="s">
        <v>1234</v>
      </c>
      <c r="G123" s="1266">
        <v>-2882863.6800000006</v>
      </c>
      <c r="H123" s="1266">
        <v>-2882863.6800000006</v>
      </c>
      <c r="I123" s="1266">
        <v>-2882863.6800000006</v>
      </c>
      <c r="J123" s="1266">
        <v>-2882863.6800000006</v>
      </c>
      <c r="K123" s="1266">
        <v>-2882863.6800000006</v>
      </c>
      <c r="L123" s="1266">
        <v>-2882863.6800000006</v>
      </c>
      <c r="M123" s="1266">
        <v>-2882863.6800000006</v>
      </c>
      <c r="N123" s="1266">
        <v>-2882863.6800000006</v>
      </c>
      <c r="O123" s="1266">
        <v>-2882863.6800000006</v>
      </c>
      <c r="P123" s="1266">
        <v>-2882863.6800000006</v>
      </c>
      <c r="Q123" s="1266">
        <v>-2882863.6800000006</v>
      </c>
      <c r="R123" s="1266">
        <v>-2882863.6800000006</v>
      </c>
      <c r="S123" s="1266">
        <v>-2882863.6800000006</v>
      </c>
      <c r="T123" s="1268">
        <f t="shared" si="4"/>
        <v>-2882863.68</v>
      </c>
      <c r="U123" s="1256"/>
      <c r="V123" s="1252"/>
      <c r="W123" s="1253">
        <f>+'ATT H-9A'!$H$37</f>
        <v>0.18463185447367098</v>
      </c>
      <c r="X123" s="1254">
        <f t="shared" si="5"/>
        <v>0</v>
      </c>
      <c r="Y123" s="1252">
        <f t="shared" si="6"/>
        <v>-2882863.68</v>
      </c>
      <c r="Z123" s="1253">
        <f>+'ATT H-9A'!$H$16</f>
        <v>0.10939366197352368</v>
      </c>
      <c r="AA123" s="1255">
        <f t="shared" si="2"/>
        <v>-315367.01492566854</v>
      </c>
      <c r="AC123" s="1255">
        <f t="shared" si="3"/>
        <v>-315367.01492566854</v>
      </c>
      <c r="AF123" s="1202"/>
      <c r="AG123" s="1202"/>
      <c r="AH123" s="64"/>
    </row>
    <row r="124" spans="1:34" s="5" customFormat="1">
      <c r="A124" s="212"/>
      <c r="C124" s="1251" t="s">
        <v>1235</v>
      </c>
      <c r="G124" s="1266">
        <v>-1014811.88</v>
      </c>
      <c r="H124" s="1266">
        <v>-1031524.3200000001</v>
      </c>
      <c r="I124" s="1266">
        <v>-1049183.82</v>
      </c>
      <c r="J124" s="1266">
        <v>-1063410.6900000002</v>
      </c>
      <c r="K124" s="1266">
        <v>-747481.60000000033</v>
      </c>
      <c r="L124" s="1266">
        <v>-735854.23000000045</v>
      </c>
      <c r="M124" s="1266">
        <v>-776995.51000000047</v>
      </c>
      <c r="N124" s="1266">
        <v>-901735.75000000047</v>
      </c>
      <c r="O124" s="1266">
        <v>-921814.11000000034</v>
      </c>
      <c r="P124" s="1266">
        <v>-940008.76000000036</v>
      </c>
      <c r="Q124" s="1266">
        <v>-963864.22000000032</v>
      </c>
      <c r="R124" s="1266">
        <v>-984969.92000000039</v>
      </c>
      <c r="S124" s="1266">
        <v>-1027304.8200000004</v>
      </c>
      <c r="T124" s="1268">
        <f t="shared" si="4"/>
        <v>-935304.58692307724</v>
      </c>
      <c r="U124" s="1256"/>
      <c r="V124" s="1252"/>
      <c r="W124" s="1253">
        <f>+'ATT H-9A'!$H$37</f>
        <v>0.18463185447367098</v>
      </c>
      <c r="X124" s="1254">
        <f t="shared" si="5"/>
        <v>0</v>
      </c>
      <c r="Y124" s="1252">
        <f t="shared" si="6"/>
        <v>-935304.58692307724</v>
      </c>
      <c r="Z124" s="1253">
        <f>+'ATT H-9A'!$H$16</f>
        <v>0.10939366197352368</v>
      </c>
      <c r="AA124" s="1255">
        <f t="shared" si="2"/>
        <v>-102316.39382414932</v>
      </c>
      <c r="AC124" s="1255">
        <f t="shared" si="3"/>
        <v>-102316.39382414932</v>
      </c>
      <c r="AF124" s="1202"/>
      <c r="AG124" s="1202"/>
      <c r="AH124" s="64"/>
    </row>
    <row r="125" spans="1:34" s="5" customFormat="1">
      <c r="A125" s="212"/>
      <c r="C125" s="1251" t="s">
        <v>1236</v>
      </c>
      <c r="G125" s="1266">
        <v>-8367798.2000000002</v>
      </c>
      <c r="H125" s="1266">
        <v>-9010451.9299999997</v>
      </c>
      <c r="I125" s="1266">
        <v>-1506693.459999999</v>
      </c>
      <c r="J125" s="1266">
        <v>-2307748.2799999989</v>
      </c>
      <c r="K125" s="1266">
        <v>-3121652.0999999992</v>
      </c>
      <c r="L125" s="1266">
        <v>-3858683.5899999989</v>
      </c>
      <c r="M125" s="1266">
        <v>-6387538.0299999993</v>
      </c>
      <c r="N125" s="1266">
        <v>-7533688.3599999994</v>
      </c>
      <c r="O125" s="1266">
        <v>-8664548.0299999975</v>
      </c>
      <c r="P125" s="1266">
        <v>-9324434.459999999</v>
      </c>
      <c r="Q125" s="1266">
        <v>-10396595.479999999</v>
      </c>
      <c r="R125" s="1266">
        <v>-11978778.019999998</v>
      </c>
      <c r="S125" s="1266">
        <v>-15518567.159999998</v>
      </c>
      <c r="T125" s="1268">
        <f t="shared" si="4"/>
        <v>-7536705.9307692293</v>
      </c>
      <c r="U125" s="1256"/>
      <c r="V125" s="1252"/>
      <c r="W125" s="1253">
        <f>+'ATT H-9A'!$H$37</f>
        <v>0.18463185447367098</v>
      </c>
      <c r="X125" s="1254">
        <f t="shared" si="5"/>
        <v>0</v>
      </c>
      <c r="Y125" s="1252">
        <f t="shared" si="6"/>
        <v>-7536705.9307692293</v>
      </c>
      <c r="Z125" s="1253">
        <f>+'ATT H-9A'!$H$16</f>
        <v>0.10939366197352368</v>
      </c>
      <c r="AA125" s="1255">
        <f t="shared" si="2"/>
        <v>-824467.86098442029</v>
      </c>
      <c r="AC125" s="1255">
        <f t="shared" si="3"/>
        <v>-824467.86098442029</v>
      </c>
      <c r="AF125" s="1202"/>
      <c r="AG125" s="1202"/>
      <c r="AH125" s="64"/>
    </row>
    <row r="126" spans="1:34" s="5" customFormat="1">
      <c r="A126" s="212"/>
      <c r="C126" s="1251" t="s">
        <v>1237</v>
      </c>
      <c r="G126" s="1266">
        <v>-7924552.7100000009</v>
      </c>
      <c r="H126" s="1266">
        <v>-7705985.1100000013</v>
      </c>
      <c r="I126" s="1266">
        <v>-7687381.3800000018</v>
      </c>
      <c r="J126" s="1266">
        <v>-7157813.8000000017</v>
      </c>
      <c r="K126" s="1266">
        <v>-7239132.5300000021</v>
      </c>
      <c r="L126" s="1266">
        <v>-6428810.7700000023</v>
      </c>
      <c r="M126" s="1266">
        <v>-10266005.120000001</v>
      </c>
      <c r="N126" s="1266">
        <v>-6980164.5800000019</v>
      </c>
      <c r="O126" s="1266">
        <v>-7063378.3200000012</v>
      </c>
      <c r="P126" s="1266">
        <v>-7007706.370000001</v>
      </c>
      <c r="Q126" s="1266">
        <v>-6929536.5200000014</v>
      </c>
      <c r="R126" s="1266">
        <v>-7120096.6800000016</v>
      </c>
      <c r="S126" s="1266">
        <v>-7799033.6300000018</v>
      </c>
      <c r="T126" s="1268">
        <f t="shared" si="4"/>
        <v>-7485353.6553846169</v>
      </c>
      <c r="U126" s="1256"/>
      <c r="V126" s="1252"/>
      <c r="W126" s="1253">
        <f>+'ATT H-9A'!$H$37</f>
        <v>0.18463185447367098</v>
      </c>
      <c r="X126" s="1254">
        <f t="shared" si="5"/>
        <v>0</v>
      </c>
      <c r="Y126" s="1252">
        <f t="shared" si="6"/>
        <v>-7485353.6553846169</v>
      </c>
      <c r="Z126" s="1253">
        <f>+'ATT H-9A'!$H$16</f>
        <v>0.10939366197352368</v>
      </c>
      <c r="AA126" s="1255">
        <f t="shared" si="2"/>
        <v>-818850.24752942461</v>
      </c>
      <c r="AC126" s="1255">
        <f t="shared" si="3"/>
        <v>-818850.24752942461</v>
      </c>
      <c r="AF126" s="1202"/>
      <c r="AG126" s="1202"/>
      <c r="AH126" s="64"/>
    </row>
    <row r="127" spans="1:34" s="5" customFormat="1">
      <c r="A127" s="212"/>
      <c r="C127" s="1251" t="s">
        <v>1238</v>
      </c>
      <c r="G127" s="1266">
        <v>-7800517.0000000019</v>
      </c>
      <c r="H127" s="1266">
        <v>-8040455.5700000022</v>
      </c>
      <c r="I127" s="1266">
        <v>-8409750.4700000025</v>
      </c>
      <c r="J127" s="1266">
        <v>-8711156.5500000026</v>
      </c>
      <c r="K127" s="1266">
        <v>-9107582.2200000025</v>
      </c>
      <c r="L127" s="1266">
        <v>-9762759.700000003</v>
      </c>
      <c r="M127" s="1266">
        <v>-9964354.4600000046</v>
      </c>
      <c r="N127" s="1266">
        <v>-9965102.0400000047</v>
      </c>
      <c r="O127" s="1266">
        <v>-9911297.0800000038</v>
      </c>
      <c r="P127" s="1266">
        <v>-9979748.1500000041</v>
      </c>
      <c r="Q127" s="1266">
        <v>-10125628.620000003</v>
      </c>
      <c r="R127" s="1266">
        <v>-10075227.920000004</v>
      </c>
      <c r="S127" s="1266">
        <v>-8841083.2700000033</v>
      </c>
      <c r="T127" s="1268">
        <f t="shared" si="4"/>
        <v>-9284204.8500000034</v>
      </c>
      <c r="U127" s="1256"/>
      <c r="V127" s="1252"/>
      <c r="W127" s="1253">
        <f>+'ATT H-9A'!$H$37</f>
        <v>0.18463185447367098</v>
      </c>
      <c r="X127" s="1254">
        <f t="shared" si="5"/>
        <v>0</v>
      </c>
      <c r="Y127" s="1252">
        <f t="shared" si="6"/>
        <v>-9284204.8500000034</v>
      </c>
      <c r="Z127" s="1253">
        <f>+'ATT H-9A'!$H$16</f>
        <v>0.10939366197352368</v>
      </c>
      <c r="AA127" s="1255">
        <f t="shared" si="2"/>
        <v>-1015633.1670538496</v>
      </c>
      <c r="AC127" s="1255">
        <f t="shared" si="3"/>
        <v>-1015633.1670538496</v>
      </c>
      <c r="AF127" s="1202"/>
      <c r="AG127" s="1202"/>
      <c r="AH127" s="64"/>
    </row>
    <row r="128" spans="1:34" s="5" customFormat="1">
      <c r="A128" s="212"/>
      <c r="C128" s="1251" t="s">
        <v>1239</v>
      </c>
      <c r="G128" s="1266">
        <v>-662827.12</v>
      </c>
      <c r="H128" s="1266">
        <v>-662827.12</v>
      </c>
      <c r="I128" s="1266">
        <v>-662827.12</v>
      </c>
      <c r="J128" s="1266">
        <v>-662827.12</v>
      </c>
      <c r="K128" s="1266">
        <v>-662827.12</v>
      </c>
      <c r="L128" s="1266">
        <v>-662827.12</v>
      </c>
      <c r="M128" s="1266">
        <v>-662827.12</v>
      </c>
      <c r="N128" s="1266">
        <v>-662827.12</v>
      </c>
      <c r="O128" s="1266">
        <v>-662827.12</v>
      </c>
      <c r="P128" s="1266">
        <v>-662827.12</v>
      </c>
      <c r="Q128" s="1266">
        <v>-662827.12</v>
      </c>
      <c r="R128" s="1266">
        <v>-662827.12</v>
      </c>
      <c r="S128" s="1266">
        <v>-662827.12</v>
      </c>
      <c r="T128" s="1268">
        <f t="shared" si="4"/>
        <v>-662827.12</v>
      </c>
      <c r="U128" s="1256"/>
      <c r="V128" s="1252"/>
      <c r="W128" s="1253">
        <f>+'ATT H-9A'!$H$37</f>
        <v>0.18463185447367098</v>
      </c>
      <c r="X128" s="1254">
        <f t="shared" si="5"/>
        <v>0</v>
      </c>
      <c r="Y128" s="1252">
        <f t="shared" si="6"/>
        <v>-662827.12</v>
      </c>
      <c r="Z128" s="1253">
        <f>+'ATT H-9A'!$H$16</f>
        <v>0.10939366197352368</v>
      </c>
      <c r="AA128" s="1255">
        <f t="shared" si="2"/>
        <v>-72509.085912164213</v>
      </c>
      <c r="AC128" s="1255">
        <f t="shared" si="3"/>
        <v>-72509.085912164213</v>
      </c>
      <c r="AF128" s="1202"/>
      <c r="AG128" s="1202"/>
      <c r="AH128" s="64"/>
    </row>
    <row r="129" spans="1:34" s="5" customFormat="1">
      <c r="A129" s="212"/>
      <c r="C129" s="1251" t="s">
        <v>1898</v>
      </c>
      <c r="G129" s="1266">
        <v>-19555483.330000006</v>
      </c>
      <c r="H129" s="1266">
        <v>-17619263.910000004</v>
      </c>
      <c r="I129" s="1266">
        <v>-17003629.470000003</v>
      </c>
      <c r="J129" s="1266">
        <v>-16429300.280000003</v>
      </c>
      <c r="K129" s="1266">
        <v>-15810065.160000004</v>
      </c>
      <c r="L129" s="1266">
        <v>-15275028.460000005</v>
      </c>
      <c r="M129" s="1266">
        <v>-14836093.790000005</v>
      </c>
      <c r="N129" s="1266">
        <v>-14492726.720000004</v>
      </c>
      <c r="O129" s="1266">
        <v>-13954350.110000005</v>
      </c>
      <c r="P129" s="1266">
        <v>-13545719.280000005</v>
      </c>
      <c r="Q129" s="1266">
        <v>-14197613.640000004</v>
      </c>
      <c r="R129" s="1266">
        <v>-13612266.440000005</v>
      </c>
      <c r="S129" s="1266">
        <v>-12989094.410000006</v>
      </c>
      <c r="T129" s="1268">
        <f t="shared" si="4"/>
        <v>-15332356.53846154</v>
      </c>
      <c r="U129" s="1256"/>
      <c r="V129" s="1252"/>
      <c r="W129" s="1253">
        <f>+'ATT H-9A'!$H$37</f>
        <v>0.18463185447367098</v>
      </c>
      <c r="X129" s="1254">
        <f t="shared" si="5"/>
        <v>0</v>
      </c>
      <c r="Y129" s="1252">
        <f t="shared" si="6"/>
        <v>-15332356.53846154</v>
      </c>
      <c r="Z129" s="1253">
        <f>+'ATT H-9A'!$H$16</f>
        <v>0.10939366197352368</v>
      </c>
      <c r="AA129" s="1255">
        <f t="shared" si="2"/>
        <v>-1677262.6284260072</v>
      </c>
      <c r="AC129" s="1255">
        <f t="shared" si="3"/>
        <v>-1677262.6284260072</v>
      </c>
      <c r="AF129" s="1202"/>
      <c r="AG129" s="1202"/>
      <c r="AH129" s="64"/>
    </row>
    <row r="130" spans="1:34" s="5" customFormat="1">
      <c r="A130" s="212"/>
      <c r="C130" s="1251" t="s">
        <v>1240</v>
      </c>
      <c r="G130" s="1266">
        <v>-81605.91</v>
      </c>
      <c r="H130" s="1266">
        <v>-28195.200000000004</v>
      </c>
      <c r="I130" s="1266">
        <v>-32565.480000000003</v>
      </c>
      <c r="J130" s="1266">
        <v>-44101.64</v>
      </c>
      <c r="K130" s="1266">
        <v>-51790.85</v>
      </c>
      <c r="L130" s="1266">
        <v>-46429.82</v>
      </c>
      <c r="M130" s="1266">
        <v>-50950.8</v>
      </c>
      <c r="N130" s="1266">
        <v>-57431.62</v>
      </c>
      <c r="O130" s="1266">
        <v>-62256.460000000006</v>
      </c>
      <c r="P130" s="1266">
        <v>-66925.66</v>
      </c>
      <c r="Q130" s="1266">
        <v>-72882.3</v>
      </c>
      <c r="R130" s="1266">
        <v>-77625.61</v>
      </c>
      <c r="S130" s="1266">
        <v>-82527.02</v>
      </c>
      <c r="T130" s="1268">
        <f t="shared" si="4"/>
        <v>-58099.105384615395</v>
      </c>
      <c r="U130" s="1256"/>
      <c r="V130" s="1252"/>
      <c r="W130" s="1253">
        <f>+'ATT H-9A'!$H$37</f>
        <v>0.18463185447367098</v>
      </c>
      <c r="X130" s="1254">
        <f t="shared" si="5"/>
        <v>0</v>
      </c>
      <c r="Y130" s="1252">
        <f t="shared" si="6"/>
        <v>-58099.105384615395</v>
      </c>
      <c r="Z130" s="1253">
        <f>+'ATT H-9A'!$H$16</f>
        <v>0.10939366197352368</v>
      </c>
      <c r="AA130" s="1255">
        <f t="shared" si="2"/>
        <v>-6355.6738954087459</v>
      </c>
      <c r="AC130" s="1255">
        <f t="shared" si="3"/>
        <v>-6355.6738954087459</v>
      </c>
      <c r="AF130" s="1202"/>
      <c r="AG130" s="1202"/>
      <c r="AH130" s="64"/>
    </row>
    <row r="131" spans="1:34" s="5" customFormat="1">
      <c r="A131" s="212"/>
      <c r="C131" s="1251" t="s">
        <v>1540</v>
      </c>
      <c r="G131" s="1266">
        <v>-828187.41000000027</v>
      </c>
      <c r="H131" s="1266">
        <v>-823444.80000000028</v>
      </c>
      <c r="I131" s="1266">
        <v>-745645.87000000034</v>
      </c>
      <c r="J131" s="1266">
        <v>-682090.46000000031</v>
      </c>
      <c r="K131" s="1266">
        <v>-614490.99000000034</v>
      </c>
      <c r="L131" s="1266">
        <v>-535553.44000000041</v>
      </c>
      <c r="M131" s="1266">
        <v>-469743.98000000033</v>
      </c>
      <c r="N131" s="1266">
        <v>-400546.21000000031</v>
      </c>
      <c r="O131" s="1266">
        <v>-341177.46000000031</v>
      </c>
      <c r="P131" s="1266">
        <v>-282365.31000000029</v>
      </c>
      <c r="Q131" s="1266">
        <v>-211973.93000000031</v>
      </c>
      <c r="R131" s="1266">
        <v>-152998.8500000003</v>
      </c>
      <c r="S131" s="1266">
        <v>-91000.240000000296</v>
      </c>
      <c r="T131" s="1268">
        <f t="shared" si="4"/>
        <v>-475324.534615385</v>
      </c>
      <c r="U131" s="1256"/>
      <c r="V131" s="1252"/>
      <c r="W131" s="1253">
        <f>+'ATT H-9A'!$H$37</f>
        <v>0.18463185447367098</v>
      </c>
      <c r="X131" s="1254">
        <f t="shared" si="5"/>
        <v>0</v>
      </c>
      <c r="Y131" s="1252">
        <f t="shared" si="6"/>
        <v>-475324.534615385</v>
      </c>
      <c r="Z131" s="1253">
        <f>+'ATT H-9A'!$H$16</f>
        <v>0.10939366197352368</v>
      </c>
      <c r="AA131" s="1255">
        <f t="shared" si="2"/>
        <v>-51997.491467437882</v>
      </c>
      <c r="AC131" s="1255">
        <f t="shared" si="3"/>
        <v>-51997.491467437882</v>
      </c>
      <c r="AF131" s="1202"/>
      <c r="AG131" s="1202"/>
      <c r="AH131" s="64"/>
    </row>
    <row r="132" spans="1:34" s="5" customFormat="1">
      <c r="A132" s="212"/>
      <c r="C132" s="1251" t="s">
        <v>1241</v>
      </c>
      <c r="G132" s="1266">
        <v>-484615.86999999994</v>
      </c>
      <c r="H132" s="1266">
        <v>-643152.7699999999</v>
      </c>
      <c r="I132" s="1266">
        <v>-244517.9499999999</v>
      </c>
      <c r="J132" s="1266">
        <v>-233310.5499999999</v>
      </c>
      <c r="K132" s="1266">
        <v>-279843.50999999989</v>
      </c>
      <c r="L132" s="1266">
        <v>-260858.87999999989</v>
      </c>
      <c r="M132" s="1266">
        <v>-303265.89999999991</v>
      </c>
      <c r="N132" s="1266">
        <v>-334438.7699999999</v>
      </c>
      <c r="O132" s="1266">
        <v>-368433.18999999989</v>
      </c>
      <c r="P132" s="1266">
        <v>-455511.27999999991</v>
      </c>
      <c r="Q132" s="1266">
        <v>-486454.91999999993</v>
      </c>
      <c r="R132" s="1266">
        <v>-515235.98999999993</v>
      </c>
      <c r="S132" s="1266">
        <v>-544976.42999999993</v>
      </c>
      <c r="T132" s="1268">
        <f t="shared" ref="T132:T134" si="7">SUM(G132:S132)/13</f>
        <v>-396508.92384615378</v>
      </c>
      <c r="U132" s="1256"/>
      <c r="V132" s="1252"/>
      <c r="W132" s="1253">
        <f>+'ATT H-9A'!$H$37</f>
        <v>0.18463185447367098</v>
      </c>
      <c r="X132" s="1254">
        <f t="shared" si="5"/>
        <v>0</v>
      </c>
      <c r="Y132" s="1252">
        <f t="shared" si="6"/>
        <v>-396508.92384615378</v>
      </c>
      <c r="Z132" s="1253">
        <f>+'ATT H-9A'!$H$16</f>
        <v>0.10939366197352368</v>
      </c>
      <c r="AA132" s="1255">
        <f t="shared" si="2"/>
        <v>-43375.563184711791</v>
      </c>
      <c r="AC132" s="1255">
        <f t="shared" si="3"/>
        <v>-43375.563184711791</v>
      </c>
      <c r="AF132" s="1202"/>
      <c r="AG132" s="1202"/>
      <c r="AH132" s="64"/>
    </row>
    <row r="133" spans="1:34" s="5" customFormat="1">
      <c r="A133" s="212"/>
      <c r="C133" s="1251" t="s">
        <v>1539</v>
      </c>
      <c r="G133" s="1266">
        <v>-70416.599999999948</v>
      </c>
      <c r="H133" s="1266">
        <v>-72499.929999999935</v>
      </c>
      <c r="I133" s="1266">
        <v>-55934.619999999937</v>
      </c>
      <c r="J133" s="1266">
        <v>-76666.609999999928</v>
      </c>
      <c r="K133" s="1266">
        <v>-62803.999999999935</v>
      </c>
      <c r="L133" s="1266">
        <v>-51238.689999999937</v>
      </c>
      <c r="M133" s="1266">
        <v>-67916.619999999937</v>
      </c>
      <c r="N133" s="1266">
        <v>-23108.069999999938</v>
      </c>
      <c r="O133" s="1266">
        <v>-24459.429999999938</v>
      </c>
      <c r="P133" s="1266">
        <v>-34999.979999999938</v>
      </c>
      <c r="Q133" s="1266">
        <v>-27162.149999999936</v>
      </c>
      <c r="R133" s="1266">
        <v>-8513.5099999999366</v>
      </c>
      <c r="S133" s="1266">
        <v>-15000.009999999937</v>
      </c>
      <c r="T133" s="1268">
        <f t="shared" si="7"/>
        <v>-45440.016923076859</v>
      </c>
      <c r="U133" s="1256"/>
      <c r="V133" s="1252"/>
      <c r="W133" s="1253">
        <f>+'ATT H-9A'!$H$37</f>
        <v>0.18463185447367098</v>
      </c>
      <c r="X133" s="1254">
        <f t="shared" ref="X133" si="8">+V133*W133</f>
        <v>0</v>
      </c>
      <c r="Y133" s="1252">
        <f t="shared" ref="Y133" si="9">+T133</f>
        <v>-45440.016923076859</v>
      </c>
      <c r="Z133" s="1253">
        <f>+'ATT H-9A'!$H$16</f>
        <v>0.10939366197352368</v>
      </c>
      <c r="AA133" s="1255">
        <f t="shared" ref="AA133" si="10">+Z133*Y133</f>
        <v>-4970.8498513542654</v>
      </c>
      <c r="AC133" s="1255">
        <f t="shared" ref="AC133" si="11">X133+AA133+AB133</f>
        <v>-4970.8498513542654</v>
      </c>
      <c r="AF133" s="1202"/>
      <c r="AG133" s="1202"/>
      <c r="AH133" s="64"/>
    </row>
    <row r="134" spans="1:34" s="5" customFormat="1">
      <c r="A134" s="212"/>
      <c r="C134" s="1251" t="s">
        <v>1242</v>
      </c>
      <c r="G134" s="1266">
        <v>-661319</v>
      </c>
      <c r="H134" s="1266">
        <v>-661319</v>
      </c>
      <c r="I134" s="1266">
        <v>-661319</v>
      </c>
      <c r="J134" s="1266">
        <v>-661319</v>
      </c>
      <c r="K134" s="1266">
        <v>-661319</v>
      </c>
      <c r="L134" s="1266">
        <v>-661319</v>
      </c>
      <c r="M134" s="1266">
        <v>-604951</v>
      </c>
      <c r="N134" s="1266">
        <v>-604951</v>
      </c>
      <c r="O134" s="1266">
        <v>-604951</v>
      </c>
      <c r="P134" s="1266">
        <v>-300000</v>
      </c>
      <c r="Q134" s="1266">
        <v>-300000</v>
      </c>
      <c r="R134" s="1266">
        <v>-300000</v>
      </c>
      <c r="S134" s="1266">
        <v>-300000</v>
      </c>
      <c r="T134" s="1268">
        <f t="shared" si="7"/>
        <v>-537135.92307692312</v>
      </c>
      <c r="U134" s="1256"/>
      <c r="V134" s="1252"/>
      <c r="W134" s="1257"/>
      <c r="X134" s="1254"/>
      <c r="Y134" s="1252"/>
      <c r="Z134" s="1253"/>
      <c r="AA134" s="1255"/>
      <c r="AB134" s="457">
        <f>+T134</f>
        <v>-537135.92307692312</v>
      </c>
      <c r="AC134" s="1255">
        <f t="shared" si="3"/>
        <v>-537135.92307692312</v>
      </c>
      <c r="AF134" s="1202"/>
      <c r="AG134" s="1202"/>
      <c r="AH134" s="64"/>
    </row>
    <row r="135" spans="1:34" s="5" customFormat="1">
      <c r="A135" s="212"/>
      <c r="C135" s="1251"/>
      <c r="G135" s="1258"/>
      <c r="H135" s="1258"/>
      <c r="I135" s="1258"/>
      <c r="J135" s="1258"/>
      <c r="K135" s="1258"/>
      <c r="L135" s="1258"/>
      <c r="M135" s="1258"/>
      <c r="N135" s="1258"/>
      <c r="O135" s="1258"/>
      <c r="P135" s="1258"/>
      <c r="Q135" s="1258"/>
      <c r="R135" s="1258"/>
      <c r="S135" s="1258"/>
      <c r="T135" s="1269"/>
      <c r="U135" s="1256"/>
      <c r="V135" s="1252"/>
      <c r="W135" s="1257"/>
      <c r="X135" s="1254"/>
      <c r="Y135" s="1252"/>
      <c r="Z135" s="1253"/>
      <c r="AA135" s="1255"/>
      <c r="AC135" s="1255"/>
      <c r="AF135" s="1202"/>
      <c r="AG135" s="1202"/>
      <c r="AH135" s="64"/>
    </row>
    <row r="136" spans="1:34" s="5" customFormat="1" ht="15.75" thickBot="1">
      <c r="A136" s="212"/>
      <c r="C136" s="834" t="s">
        <v>1243</v>
      </c>
      <c r="G136" s="1259">
        <f t="shared" ref="G136:S136" si="12">SUM(G117:G135)</f>
        <v>-88205085.620000005</v>
      </c>
      <c r="H136" s="1259">
        <f t="shared" si="12"/>
        <v>-87716885.190000013</v>
      </c>
      <c r="I136" s="1259">
        <f t="shared" si="12"/>
        <v>-79339739.320000023</v>
      </c>
      <c r="J136" s="1259">
        <f t="shared" si="12"/>
        <v>-79289313.36999999</v>
      </c>
      <c r="K136" s="1259">
        <f t="shared" si="12"/>
        <v>-79865426.779999986</v>
      </c>
      <c r="L136" s="1259">
        <f t="shared" si="12"/>
        <v>-79761244.459999979</v>
      </c>
      <c r="M136" s="1259">
        <f t="shared" si="12"/>
        <v>-84918110.070000023</v>
      </c>
      <c r="N136" s="1259">
        <f t="shared" si="12"/>
        <v>-82720998.769999981</v>
      </c>
      <c r="O136" s="1259">
        <f t="shared" si="12"/>
        <v>-79725027.00999999</v>
      </c>
      <c r="P136" s="1259">
        <f t="shared" si="12"/>
        <v>-80022220.040000007</v>
      </c>
      <c r="Q136" s="1259">
        <f t="shared" si="12"/>
        <v>-82285130.340000004</v>
      </c>
      <c r="R136" s="1259">
        <f t="shared" si="12"/>
        <v>-83432621.36999999</v>
      </c>
      <c r="S136" s="1259">
        <f t="shared" si="12"/>
        <v>-85509267.770000011</v>
      </c>
      <c r="T136" s="1270">
        <f t="shared" si="4"/>
        <v>-82522390.008461535</v>
      </c>
      <c r="U136" s="1256"/>
      <c r="V136" s="1260">
        <f>SUM(V117:V135)</f>
        <v>-2509685.4246153841</v>
      </c>
      <c r="W136" s="994"/>
      <c r="X136" s="1260">
        <f>SUM(X117:X135)</f>
        <v>-463367.87409228075</v>
      </c>
      <c r="Y136" s="1260">
        <f>SUM(Y117:Y135)</f>
        <v>-79475568.660769224</v>
      </c>
      <c r="Z136" s="1261"/>
      <c r="AA136" s="1260">
        <f>SUM(AA117:AA135)</f>
        <v>-8694123.4932297636</v>
      </c>
      <c r="AB136" s="1260">
        <f>SUM(AB117:AB135)</f>
        <v>-537135.92307692312</v>
      </c>
      <c r="AC136" s="1260">
        <f>SUM(AC117:AC135)</f>
        <v>-9694627.2903989702</v>
      </c>
      <c r="AD136" s="1251" t="s">
        <v>1244</v>
      </c>
      <c r="AF136" s="1202"/>
      <c r="AG136" s="1202"/>
      <c r="AH136" s="64"/>
    </row>
    <row r="137" spans="1:34" s="5" customFormat="1" ht="15.75" thickTop="1">
      <c r="A137" s="212"/>
      <c r="C137" s="834"/>
      <c r="G137" s="1262"/>
      <c r="H137" s="1262"/>
      <c r="I137" s="1262"/>
      <c r="J137" s="1262"/>
      <c r="K137" s="1262"/>
      <c r="L137" s="1262"/>
      <c r="M137" s="1262"/>
      <c r="N137" s="1262"/>
      <c r="O137" s="1262"/>
      <c r="P137" s="1262"/>
      <c r="Q137" s="1262"/>
      <c r="R137" s="1262"/>
      <c r="S137" s="1262"/>
      <c r="T137" s="1263"/>
      <c r="U137" s="1264"/>
      <c r="V137" s="1263"/>
      <c r="W137" s="994"/>
      <c r="X137" s="1263"/>
      <c r="Y137" s="1263"/>
      <c r="Z137" s="1261"/>
      <c r="AA137" s="1263"/>
      <c r="AB137" s="1263"/>
      <c r="AC137" s="1263"/>
      <c r="AD137" s="1251"/>
      <c r="AF137" s="1202"/>
      <c r="AG137" s="1202"/>
      <c r="AH137" s="64"/>
    </row>
    <row r="138" spans="1:34" s="5" customFormat="1" ht="15" customHeight="1">
      <c r="A138" s="212"/>
      <c r="C138" s="1951" t="s">
        <v>1245</v>
      </c>
      <c r="D138" s="1951"/>
      <c r="E138" s="1951"/>
      <c r="F138" s="1951"/>
      <c r="G138" s="1951"/>
      <c r="H138" s="1951"/>
      <c r="I138" s="1951"/>
      <c r="J138" s="1951"/>
      <c r="K138" s="1951"/>
      <c r="L138" s="1951"/>
      <c r="M138" s="1951"/>
      <c r="N138" s="1951"/>
      <c r="O138" s="1951"/>
      <c r="P138" s="1951"/>
      <c r="Q138" s="1951"/>
      <c r="R138" s="1951"/>
      <c r="S138" s="1951"/>
      <c r="T138" s="1951"/>
      <c r="U138" s="1264"/>
      <c r="V138" s="1347"/>
      <c r="W138" s="994"/>
      <c r="X138" s="1263"/>
      <c r="Y138" s="1263"/>
      <c r="Z138" s="1261"/>
      <c r="AA138" s="1263"/>
      <c r="AB138" s="1263"/>
      <c r="AC138" s="1263"/>
      <c r="AD138" s="1251"/>
      <c r="AF138" s="1202"/>
      <c r="AG138" s="1202"/>
      <c r="AH138" s="64"/>
    </row>
    <row r="139" spans="1:34" s="5" customFormat="1">
      <c r="A139" s="212"/>
      <c r="C139" s="1951"/>
      <c r="D139" s="1951"/>
      <c r="E139" s="1951"/>
      <c r="F139" s="1951"/>
      <c r="G139" s="1951"/>
      <c r="H139" s="1951"/>
      <c r="I139" s="1951"/>
      <c r="J139" s="1951"/>
      <c r="K139" s="1951"/>
      <c r="L139" s="1951"/>
      <c r="M139" s="1951"/>
      <c r="N139" s="1951"/>
      <c r="O139" s="1951"/>
      <c r="P139" s="1951"/>
      <c r="Q139" s="1951"/>
      <c r="R139" s="1951"/>
      <c r="S139" s="1951"/>
      <c r="T139" s="1951"/>
      <c r="U139" s="1264"/>
      <c r="V139" s="1263"/>
      <c r="W139" s="994"/>
      <c r="X139" s="1263"/>
      <c r="Y139" s="1263"/>
      <c r="Z139" s="1261"/>
      <c r="AA139" s="1263"/>
      <c r="AB139" s="1263"/>
      <c r="AC139" s="1263"/>
      <c r="AD139" s="1251"/>
      <c r="AF139" s="1202"/>
      <c r="AG139" s="1202"/>
      <c r="AH139" s="64"/>
    </row>
    <row r="140" spans="1:34" s="5" customFormat="1">
      <c r="A140" s="212"/>
      <c r="C140" s="1951"/>
      <c r="D140" s="1951"/>
      <c r="E140" s="1951"/>
      <c r="F140" s="1951"/>
      <c r="G140" s="1951"/>
      <c r="H140" s="1951"/>
      <c r="I140" s="1951"/>
      <c r="J140" s="1951"/>
      <c r="K140" s="1951"/>
      <c r="L140" s="1951"/>
      <c r="M140" s="1951"/>
      <c r="N140" s="1951"/>
      <c r="O140" s="1951"/>
      <c r="P140" s="1951"/>
      <c r="Q140" s="1951"/>
      <c r="R140" s="1951"/>
      <c r="S140" s="1951"/>
      <c r="T140" s="1951"/>
      <c r="U140" s="1264"/>
      <c r="V140" s="1263"/>
      <c r="W140" s="994"/>
      <c r="X140" s="1263"/>
      <c r="Y140" s="1263"/>
      <c r="Z140" s="1261"/>
      <c r="AA140" s="1263"/>
      <c r="AB140" s="1263"/>
      <c r="AC140" s="1263"/>
      <c r="AD140" s="1251"/>
      <c r="AF140" s="1202"/>
      <c r="AG140" s="1202"/>
      <c r="AH140" s="64"/>
    </row>
    <row r="141" spans="1:34" s="5" customFormat="1" ht="15.75" thickBot="1">
      <c r="A141" s="218"/>
      <c r="B141" s="168"/>
      <c r="C141" s="1265"/>
      <c r="D141" s="1265"/>
      <c r="E141" s="1265"/>
      <c r="F141" s="1265"/>
      <c r="G141" s="1265"/>
      <c r="H141" s="1265"/>
      <c r="I141" s="1265"/>
      <c r="J141" s="1265"/>
      <c r="K141" s="1265"/>
      <c r="L141" s="1265"/>
      <c r="M141" s="1265"/>
      <c r="N141" s="1265"/>
      <c r="O141" s="1265"/>
      <c r="P141" s="1265"/>
      <c r="Q141" s="1265"/>
      <c r="R141" s="1265"/>
      <c r="S141" s="1265"/>
      <c r="T141" s="1265"/>
      <c r="U141" s="1265"/>
      <c r="V141" s="1265"/>
      <c r="W141" s="168"/>
      <c r="X141" s="168"/>
      <c r="Y141" s="168"/>
      <c r="Z141" s="168"/>
      <c r="AA141" s="168"/>
      <c r="AB141" s="168"/>
      <c r="AC141" s="168"/>
      <c r="AD141" s="170"/>
      <c r="AE141" s="170"/>
      <c r="AF141" s="170"/>
      <c r="AG141" s="170"/>
      <c r="AH141" s="1119"/>
    </row>
    <row r="142" spans="1:34">
      <c r="A142" s="216"/>
      <c r="B142" s="216"/>
      <c r="C142" s="216"/>
      <c r="D142" s="216"/>
      <c r="E142" s="216"/>
      <c r="F142" s="216"/>
      <c r="G142" s="36"/>
      <c r="H142" s="36"/>
      <c r="I142" s="36"/>
      <c r="J142" s="36"/>
      <c r="K142" s="217"/>
      <c r="L142" s="36"/>
      <c r="M142" s="36"/>
      <c r="N142" s="36"/>
      <c r="O142" s="36"/>
      <c r="P142" s="36"/>
      <c r="Q142" s="36"/>
    </row>
    <row r="143" spans="1:34" ht="15.75" thickBot="1">
      <c r="A143" s="216"/>
      <c r="B143" s="216"/>
      <c r="C143" s="216"/>
      <c r="D143" s="216"/>
      <c r="E143" s="216"/>
      <c r="F143" s="216"/>
      <c r="G143" s="36"/>
      <c r="H143" s="36"/>
      <c r="I143" s="36"/>
      <c r="J143" s="36"/>
      <c r="K143" s="217"/>
      <c r="L143" s="36"/>
      <c r="M143" s="36"/>
      <c r="N143" s="36"/>
      <c r="O143" s="36"/>
      <c r="P143" s="36"/>
      <c r="Q143" s="36"/>
    </row>
    <row r="144" spans="1:34" ht="18">
      <c r="A144" s="1952" t="s">
        <v>1400</v>
      </c>
      <c r="B144" s="1953"/>
      <c r="C144" s="1953"/>
      <c r="D144" s="1953"/>
      <c r="E144" s="1953"/>
      <c r="F144" s="1953"/>
      <c r="G144" s="1358"/>
      <c r="H144" s="1359" t="s">
        <v>297</v>
      </c>
      <c r="I144" s="1359" t="s">
        <v>1192</v>
      </c>
      <c r="J144" s="1482" t="s">
        <v>1521</v>
      </c>
      <c r="K144" s="217"/>
      <c r="L144" s="36"/>
      <c r="M144" s="36"/>
      <c r="N144" s="36"/>
      <c r="O144" s="36"/>
      <c r="P144" s="36"/>
      <c r="Q144" s="36"/>
    </row>
    <row r="145" spans="1:17" ht="15.75">
      <c r="A145" s="1134"/>
      <c r="C145" t="s">
        <v>1400</v>
      </c>
      <c r="D145" s="1326"/>
      <c r="E145" s="1327"/>
      <c r="F145" s="1327"/>
      <c r="G145" s="1328">
        <v>0</v>
      </c>
      <c r="H145" s="1361">
        <f>+'ATT H-9A'!H16</f>
        <v>0.10939366197352368</v>
      </c>
      <c r="I145" t="s">
        <v>1416</v>
      </c>
      <c r="J145" s="1329"/>
      <c r="K145" s="217"/>
      <c r="L145" s="36"/>
      <c r="M145" s="36"/>
      <c r="N145" s="36"/>
      <c r="O145" s="36"/>
      <c r="P145" s="36"/>
      <c r="Q145" s="36"/>
    </row>
    <row r="146" spans="1:17" ht="15.75">
      <c r="A146" s="1134"/>
      <c r="D146" s="1326"/>
      <c r="E146" s="1327"/>
      <c r="F146" s="1327"/>
      <c r="G146" s="1328">
        <v>0</v>
      </c>
      <c r="H146" s="1360">
        <v>1</v>
      </c>
      <c r="I146" t="s">
        <v>1229</v>
      </c>
      <c r="J146" s="1329"/>
      <c r="K146" s="217"/>
      <c r="L146" s="36"/>
      <c r="M146" s="36"/>
      <c r="N146" s="36"/>
      <c r="O146" s="36"/>
      <c r="P146" s="36"/>
      <c r="Q146" s="36"/>
    </row>
    <row r="147" spans="1:17" ht="15.75">
      <c r="A147" s="1134"/>
      <c r="D147" s="1326"/>
      <c r="E147" s="1327"/>
      <c r="F147" s="1327"/>
      <c r="G147" s="1328">
        <v>0</v>
      </c>
      <c r="H147" s="1361">
        <f>+'ATT H-9A'!H37</f>
        <v>0.18463185447367098</v>
      </c>
      <c r="I147" t="s">
        <v>667</v>
      </c>
      <c r="J147" s="1329"/>
      <c r="K147" s="217"/>
      <c r="L147" s="36"/>
      <c r="M147" s="36"/>
      <c r="N147" s="36"/>
      <c r="O147" s="36"/>
      <c r="P147" s="36"/>
      <c r="Q147" s="36"/>
    </row>
    <row r="148" spans="1:17" ht="15.75">
      <c r="A148" s="1134"/>
      <c r="D148" s="1326"/>
      <c r="E148" s="1327"/>
      <c r="F148" s="1327"/>
      <c r="G148" s="1330"/>
      <c r="H148" s="1327"/>
      <c r="J148" s="1329"/>
      <c r="K148" s="217"/>
      <c r="L148" s="36"/>
      <c r="M148" s="36"/>
      <c r="N148" s="36"/>
      <c r="O148" s="36"/>
      <c r="P148" s="36"/>
      <c r="Q148" s="36"/>
    </row>
    <row r="149" spans="1:17" ht="15.75">
      <c r="A149" s="1134"/>
      <c r="D149" s="1326"/>
      <c r="E149" s="1327"/>
      <c r="F149" s="1327"/>
      <c r="G149" s="1328">
        <f>SUM(G145:G148)</f>
        <v>0</v>
      </c>
      <c r="H149" s="1327"/>
      <c r="J149" s="1329"/>
      <c r="K149" s="217"/>
      <c r="L149" s="36"/>
      <c r="M149" s="36"/>
      <c r="N149" s="36"/>
      <c r="O149" s="36"/>
      <c r="P149" s="36"/>
      <c r="Q149" s="36"/>
    </row>
    <row r="150" spans="1:17" ht="15.75">
      <c r="A150" s="1134"/>
      <c r="C150" s="301"/>
      <c r="D150" s="1326"/>
      <c r="E150" s="1336"/>
      <c r="F150" s="1327"/>
      <c r="G150" s="1332"/>
      <c r="H150" s="1327"/>
      <c r="J150" s="1329"/>
      <c r="K150" s="217"/>
      <c r="L150" s="36"/>
      <c r="M150" s="36"/>
      <c r="N150" s="36"/>
      <c r="O150" s="36"/>
      <c r="P150" s="36"/>
      <c r="Q150" s="36"/>
    </row>
    <row r="151" spans="1:17" ht="15.75">
      <c r="A151" s="1134"/>
      <c r="C151" s="301"/>
      <c r="D151" s="1326"/>
      <c r="E151" s="1336"/>
      <c r="F151" s="1327"/>
      <c r="G151" s="1331"/>
      <c r="J151" s="1329"/>
      <c r="K151" s="217"/>
      <c r="L151" s="36"/>
      <c r="M151" s="36"/>
      <c r="N151" s="36"/>
      <c r="O151" s="36"/>
      <c r="P151" s="36"/>
      <c r="Q151" s="36"/>
    </row>
    <row r="152" spans="1:17" ht="15.75">
      <c r="A152" s="1134"/>
      <c r="C152" s="301"/>
      <c r="D152" s="1326"/>
      <c r="E152" s="1336"/>
      <c r="F152" s="1327"/>
      <c r="G152" s="1333"/>
      <c r="H152" s="1327"/>
      <c r="J152" s="1329"/>
      <c r="K152" s="217"/>
      <c r="L152" s="36"/>
      <c r="M152" s="36"/>
      <c r="N152" s="36"/>
      <c r="O152" s="36"/>
      <c r="P152" s="36"/>
      <c r="Q152" s="36"/>
    </row>
    <row r="153" spans="1:17" ht="16.5" thickBot="1">
      <c r="A153" s="166"/>
      <c r="B153" s="167"/>
      <c r="C153" s="167"/>
      <c r="D153" s="1334"/>
      <c r="E153" s="1335"/>
      <c r="F153" s="1335"/>
      <c r="G153" s="1335">
        <f>SUMPRODUCT(G145:G148,H145:H148)</f>
        <v>0</v>
      </c>
      <c r="H153" s="1335" t="s">
        <v>1401</v>
      </c>
      <c r="I153" s="167"/>
      <c r="J153" s="169"/>
      <c r="K153" s="217"/>
      <c r="L153" s="36"/>
      <c r="M153" s="36"/>
      <c r="N153" s="36"/>
      <c r="O153" s="36"/>
      <c r="P153" s="36"/>
      <c r="Q153" s="36"/>
    </row>
    <row r="154" spans="1:17">
      <c r="A154" s="216"/>
      <c r="B154" s="216"/>
      <c r="C154" s="216"/>
      <c r="D154" s="216"/>
      <c r="E154" s="216"/>
      <c r="F154" s="216"/>
      <c r="G154" s="36"/>
      <c r="H154" s="36"/>
      <c r="I154" s="36"/>
      <c r="J154" s="36"/>
      <c r="K154" s="217"/>
      <c r="L154" s="36"/>
      <c r="M154" s="36"/>
      <c r="N154" s="36"/>
      <c r="O154" s="36"/>
      <c r="P154" s="36"/>
      <c r="Q154" s="36"/>
    </row>
    <row r="155" spans="1:17">
      <c r="A155" s="216"/>
      <c r="B155" s="216"/>
      <c r="C155" s="216"/>
      <c r="D155" s="216"/>
      <c r="E155" s="216"/>
      <c r="F155" s="216"/>
      <c r="G155" s="36"/>
      <c r="H155" s="36"/>
      <c r="I155" s="36"/>
      <c r="J155" s="36"/>
      <c r="K155" s="217"/>
      <c r="L155" s="36"/>
      <c r="M155" s="36"/>
      <c r="N155" s="36"/>
      <c r="O155" s="36"/>
      <c r="P155" s="36"/>
      <c r="Q155" s="36"/>
    </row>
    <row r="156" spans="1:17">
      <c r="A156" s="216"/>
      <c r="B156" s="216"/>
      <c r="C156" s="216"/>
      <c r="D156" s="216"/>
      <c r="E156" s="216"/>
      <c r="F156" s="216"/>
      <c r="G156" s="36"/>
      <c r="H156" s="36"/>
      <c r="I156" s="36"/>
      <c r="J156" s="36"/>
      <c r="K156" s="217"/>
      <c r="L156" s="36"/>
      <c r="M156" s="36"/>
      <c r="N156" s="36"/>
      <c r="O156" s="36"/>
      <c r="P156" s="36"/>
      <c r="Q156" s="36"/>
    </row>
    <row r="157" spans="1:17" ht="21" thickBot="1">
      <c r="A157" s="117" t="s">
        <v>138</v>
      </c>
      <c r="G157" s="99"/>
      <c r="H157" s="99"/>
      <c r="I157" s="99"/>
      <c r="J157" s="99"/>
      <c r="K157" s="99"/>
      <c r="L157" s="99"/>
      <c r="M157" s="99"/>
      <c r="N157" s="99"/>
      <c r="O157" s="99"/>
      <c r="P157" s="99"/>
      <c r="Q157" s="99"/>
    </row>
    <row r="158" spans="1:17" ht="26.25">
      <c r="A158" s="1917" t="s">
        <v>65</v>
      </c>
      <c r="B158" s="1918"/>
      <c r="C158" s="1918"/>
      <c r="D158" s="1918"/>
      <c r="E158" s="1918"/>
      <c r="F158" s="1919"/>
      <c r="G158" s="119" t="s">
        <v>439</v>
      </c>
      <c r="H158" s="1920" t="s">
        <v>139</v>
      </c>
      <c r="I158" s="1944"/>
      <c r="J158" s="1944"/>
      <c r="K158" s="1944"/>
      <c r="L158" s="1944"/>
      <c r="M158" s="1944"/>
      <c r="N158" s="1944"/>
      <c r="O158" s="1944"/>
      <c r="P158" s="1944"/>
      <c r="Q158" s="1945"/>
    </row>
    <row r="159" spans="1:17" ht="15.75">
      <c r="A159" s="227"/>
      <c r="B159" s="138" t="s">
        <v>140</v>
      </c>
      <c r="C159" s="220"/>
      <c r="D159" s="221"/>
      <c r="E159" s="174"/>
      <c r="F159" s="194"/>
      <c r="G159" s="165" t="s">
        <v>116</v>
      </c>
      <c r="H159" s="36"/>
      <c r="I159" s="36"/>
      <c r="J159" s="36"/>
      <c r="K159" s="36"/>
      <c r="L159" s="36"/>
      <c r="M159" s="36"/>
      <c r="N159" s="36"/>
      <c r="O159" s="36"/>
      <c r="P159" s="36"/>
      <c r="Q159" s="38"/>
    </row>
    <row r="160" spans="1:17" ht="15.75">
      <c r="A160" s="125">
        <v>55</v>
      </c>
      <c r="B160" s="150"/>
      <c r="C160" s="126" t="s">
        <v>439</v>
      </c>
      <c r="D160" s="150"/>
      <c r="E160" s="127" t="s">
        <v>952</v>
      </c>
      <c r="F160" s="163" t="s">
        <v>440</v>
      </c>
      <c r="G160" s="165">
        <v>0</v>
      </c>
      <c r="H160" s="1934" t="s">
        <v>141</v>
      </c>
      <c r="I160" s="1924"/>
      <c r="J160" s="1924"/>
      <c r="K160" s="1924"/>
      <c r="L160" s="1924"/>
      <c r="M160" s="1924"/>
      <c r="N160" s="1924"/>
      <c r="O160" s="1924"/>
      <c r="P160" s="1924"/>
      <c r="Q160" s="1925"/>
    </row>
    <row r="161" spans="1:18" ht="15.75">
      <c r="A161" s="125"/>
      <c r="B161" s="150"/>
      <c r="C161" s="126"/>
      <c r="D161" s="150"/>
      <c r="E161" s="127"/>
      <c r="F161" s="163"/>
      <c r="G161" s="36"/>
      <c r="H161" s="36"/>
      <c r="I161" s="36"/>
      <c r="J161" s="36"/>
      <c r="K161" s="36"/>
      <c r="L161" s="36"/>
      <c r="M161" s="36"/>
      <c r="N161" s="36"/>
      <c r="O161" s="165"/>
      <c r="P161" s="36"/>
      <c r="Q161" s="38"/>
    </row>
    <row r="162" spans="1:18" ht="15.75">
      <c r="A162" s="125"/>
      <c r="B162" s="150"/>
      <c r="C162" s="126"/>
      <c r="D162" s="150"/>
      <c r="E162" s="127"/>
      <c r="F162" s="163"/>
      <c r="H162" s="1934" t="s">
        <v>95</v>
      </c>
      <c r="I162" s="1924"/>
      <c r="J162" s="1924"/>
      <c r="K162" s="1924"/>
      <c r="L162" s="1924"/>
      <c r="M162" s="1924"/>
      <c r="N162" s="1924"/>
      <c r="O162" s="1924"/>
      <c r="P162" s="1924"/>
      <c r="Q162" s="1925"/>
    </row>
    <row r="163" spans="1:18" ht="15.75">
      <c r="A163" s="125"/>
      <c r="B163" s="150"/>
      <c r="C163" s="126"/>
      <c r="D163" s="150"/>
      <c r="E163" s="127"/>
      <c r="F163" s="163"/>
      <c r="G163" s="165"/>
      <c r="H163" s="1934"/>
      <c r="I163" s="1924"/>
      <c r="J163" s="1924"/>
      <c r="K163" s="1924"/>
      <c r="L163" s="1924"/>
      <c r="M163" s="1924"/>
      <c r="N163" s="1924"/>
      <c r="O163" s="1924"/>
      <c r="P163" s="1924"/>
      <c r="Q163" s="1925"/>
    </row>
    <row r="164" spans="1:18" ht="15.75">
      <c r="A164" s="125"/>
      <c r="B164" s="150"/>
      <c r="C164" s="126"/>
      <c r="D164" s="150"/>
      <c r="E164" s="127"/>
      <c r="F164" s="163"/>
      <c r="G164" s="165"/>
      <c r="H164" s="1934"/>
      <c r="I164" s="1924"/>
      <c r="J164" s="1924"/>
      <c r="K164" s="1924"/>
      <c r="L164" s="1924"/>
      <c r="M164" s="1924"/>
      <c r="N164" s="1924"/>
      <c r="O164" s="1924"/>
      <c r="P164" s="1924"/>
      <c r="Q164" s="1925"/>
    </row>
    <row r="165" spans="1:18" ht="15.75">
      <c r="A165" s="125">
        <v>56</v>
      </c>
      <c r="B165" s="150"/>
      <c r="C165" s="1148" t="s">
        <v>1415</v>
      </c>
      <c r="D165" s="150"/>
      <c r="E165" s="127" t="s">
        <v>952</v>
      </c>
      <c r="F165" s="163" t="s">
        <v>440</v>
      </c>
      <c r="G165" s="165">
        <v>0</v>
      </c>
      <c r="H165" s="1934"/>
      <c r="I165" s="1924"/>
      <c r="J165" s="1924"/>
      <c r="K165" s="1924"/>
      <c r="L165" s="1924"/>
      <c r="M165" s="1924"/>
      <c r="N165" s="1924"/>
      <c r="O165" s="1924"/>
      <c r="P165" s="1924"/>
      <c r="Q165" s="1925"/>
    </row>
    <row r="166" spans="1:18" ht="15.75">
      <c r="A166" s="125"/>
      <c r="B166" s="150"/>
      <c r="C166" s="150"/>
      <c r="D166" s="150"/>
      <c r="E166" s="127"/>
      <c r="F166" s="228"/>
      <c r="G166" s="165"/>
      <c r="H166" s="1934"/>
      <c r="I166" s="1924"/>
      <c r="J166" s="1924"/>
      <c r="K166" s="1924"/>
      <c r="L166" s="1924"/>
      <c r="M166" s="1924"/>
      <c r="N166" s="1924"/>
      <c r="O166" s="1924"/>
      <c r="P166" s="1924"/>
      <c r="Q166" s="1925"/>
    </row>
    <row r="167" spans="1:18" ht="15.75">
      <c r="A167" s="125"/>
      <c r="B167" s="150"/>
      <c r="C167" s="150"/>
      <c r="D167" s="150"/>
      <c r="E167" s="127"/>
      <c r="F167" s="228"/>
      <c r="G167" s="165"/>
      <c r="H167" s="1934" t="s">
        <v>95</v>
      </c>
      <c r="I167" s="1924"/>
      <c r="J167" s="1924"/>
      <c r="K167" s="1924"/>
      <c r="L167" s="1924"/>
      <c r="M167" s="1924"/>
      <c r="N167" s="1924"/>
      <c r="O167" s="1924"/>
      <c r="P167" s="1924"/>
      <c r="Q167" s="1925"/>
    </row>
    <row r="168" spans="1:18" ht="15.75">
      <c r="A168" s="125"/>
      <c r="B168" s="150"/>
      <c r="C168" s="150"/>
      <c r="D168" s="150"/>
      <c r="E168" s="127"/>
      <c r="F168" s="228"/>
      <c r="G168" s="165"/>
      <c r="H168" s="1934"/>
      <c r="I168" s="1924"/>
      <c r="J168" s="1924"/>
      <c r="K168" s="1924"/>
      <c r="L168" s="1924"/>
      <c r="M168" s="1924"/>
      <c r="N168" s="1924"/>
      <c r="O168" s="1924"/>
      <c r="P168" s="1924"/>
      <c r="Q168" s="1925"/>
    </row>
    <row r="169" spans="1:18" ht="16.5" thickBot="1">
      <c r="A169" s="155"/>
      <c r="B169" s="181"/>
      <c r="C169" s="181"/>
      <c r="D169" s="181"/>
      <c r="E169" s="159"/>
      <c r="F169" s="226"/>
      <c r="G169" s="73"/>
      <c r="H169" s="73"/>
      <c r="I169" s="73"/>
      <c r="J169" s="73"/>
      <c r="K169" s="215" t="s">
        <v>127</v>
      </c>
      <c r="L169" s="73"/>
      <c r="M169" s="73"/>
      <c r="N169" s="73"/>
      <c r="O169" s="73"/>
      <c r="P169" s="73"/>
      <c r="Q169" s="74"/>
    </row>
    <row r="170" spans="1:18" ht="15.75">
      <c r="A170" s="150"/>
      <c r="B170" s="150"/>
      <c r="C170" s="150"/>
      <c r="D170" s="150"/>
      <c r="E170" s="127"/>
      <c r="F170" s="150"/>
      <c r="G170" s="36"/>
      <c r="H170" s="36"/>
      <c r="I170" s="36"/>
      <c r="J170" s="36"/>
      <c r="K170" s="217"/>
      <c r="L170" s="36"/>
      <c r="M170" s="36"/>
      <c r="N170" s="36"/>
      <c r="O170" s="36"/>
      <c r="P170" s="36"/>
      <c r="Q170" s="36"/>
    </row>
    <row r="171" spans="1:18" ht="21" thickBot="1">
      <c r="A171" s="229" t="s">
        <v>142</v>
      </c>
      <c r="B171" s="150"/>
      <c r="C171" s="150"/>
      <c r="D171" s="150"/>
      <c r="E171" s="127"/>
      <c r="F171" s="150"/>
      <c r="G171" s="36"/>
      <c r="H171" s="36"/>
      <c r="I171" s="36"/>
      <c r="J171" s="36"/>
      <c r="K171" s="217"/>
      <c r="L171" s="36"/>
      <c r="M171" s="36"/>
      <c r="N171" s="36"/>
      <c r="O171" s="36"/>
      <c r="P171" s="36"/>
      <c r="Q171" s="36"/>
    </row>
    <row r="172" spans="1:18" ht="18">
      <c r="A172" s="1917" t="s">
        <v>65</v>
      </c>
      <c r="B172" s="1918"/>
      <c r="C172" s="1918"/>
      <c r="D172" s="1918"/>
      <c r="E172" s="1918"/>
      <c r="F172" s="1919"/>
      <c r="G172" s="230" t="s">
        <v>143</v>
      </c>
      <c r="H172" s="25" t="s">
        <v>144</v>
      </c>
      <c r="I172" s="25" t="s">
        <v>145</v>
      </c>
      <c r="J172" s="25" t="s">
        <v>146</v>
      </c>
      <c r="K172" s="231"/>
      <c r="L172" s="25"/>
      <c r="M172" s="25"/>
      <c r="N172" s="25"/>
      <c r="O172" s="25"/>
      <c r="P172" s="25"/>
      <c r="Q172" s="27"/>
    </row>
    <row r="173" spans="1:18" ht="15.75">
      <c r="A173" s="125">
        <v>61</v>
      </c>
      <c r="B173" s="150"/>
      <c r="C173" s="126" t="s">
        <v>446</v>
      </c>
      <c r="D173" s="150"/>
      <c r="E173" s="150"/>
      <c r="F173" s="763" t="s">
        <v>427</v>
      </c>
      <c r="G173" s="232">
        <v>0</v>
      </c>
      <c r="H173" s="36"/>
      <c r="I173" s="36"/>
      <c r="J173" s="36"/>
      <c r="K173" s="217"/>
      <c r="L173" s="36"/>
      <c r="M173" s="36"/>
      <c r="N173" s="36"/>
      <c r="O173" s="36"/>
      <c r="P173" s="36"/>
      <c r="Q173" s="38"/>
      <c r="R173" s="233"/>
    </row>
    <row r="174" spans="1:18" ht="16.5" thickBot="1">
      <c r="A174" s="155">
        <v>62</v>
      </c>
      <c r="B174" s="181"/>
      <c r="C174" s="157" t="s">
        <v>447</v>
      </c>
      <c r="D174" s="181"/>
      <c r="E174" s="181"/>
      <c r="F174" s="764" t="s">
        <v>427</v>
      </c>
      <c r="G174" s="234">
        <v>0</v>
      </c>
      <c r="H174" s="73">
        <v>5</v>
      </c>
      <c r="I174" s="235">
        <v>0</v>
      </c>
      <c r="J174" s="235">
        <v>0</v>
      </c>
      <c r="K174" s="215"/>
      <c r="L174" s="73"/>
      <c r="M174" s="73"/>
      <c r="N174" s="73"/>
      <c r="O174" s="73"/>
      <c r="P174" s="73"/>
      <c r="Q174" s="74"/>
      <c r="R174" s="233"/>
    </row>
    <row r="175" spans="1:18" ht="15.75">
      <c r="A175" s="150"/>
      <c r="B175" s="150"/>
      <c r="C175" s="150"/>
      <c r="D175" s="150"/>
      <c r="E175" s="127"/>
      <c r="F175" s="150"/>
      <c r="G175" s="36"/>
      <c r="H175" s="36"/>
      <c r="I175" s="36"/>
      <c r="J175" s="36"/>
      <c r="K175" s="217"/>
      <c r="L175" s="36"/>
      <c r="M175" s="36"/>
      <c r="N175" s="36"/>
      <c r="O175" s="36"/>
      <c r="P175" s="36"/>
      <c r="Q175" s="36"/>
    </row>
    <row r="176" spans="1:18" ht="15.75">
      <c r="A176" s="150"/>
      <c r="B176" s="150"/>
      <c r="C176" s="150"/>
      <c r="D176" s="150"/>
      <c r="E176" s="127"/>
      <c r="F176" s="150"/>
      <c r="G176" s="36"/>
      <c r="H176" s="36"/>
      <c r="I176" s="36"/>
      <c r="J176" s="36"/>
      <c r="K176" s="217"/>
      <c r="L176" s="36"/>
      <c r="M176" s="36"/>
      <c r="N176" s="36"/>
      <c r="O176" s="36"/>
      <c r="P176" s="36"/>
      <c r="Q176" s="36"/>
    </row>
    <row r="177" spans="1:18" ht="21" thickBot="1">
      <c r="A177" s="117" t="s">
        <v>147</v>
      </c>
      <c r="G177" s="99"/>
      <c r="H177" s="99"/>
      <c r="I177" s="99"/>
      <c r="J177" s="99"/>
      <c r="K177" s="99"/>
      <c r="L177" s="99"/>
      <c r="M177" s="99"/>
      <c r="N177" s="99"/>
      <c r="O177" s="99"/>
      <c r="P177" s="99"/>
      <c r="Q177" s="99"/>
    </row>
    <row r="178" spans="1:18" ht="26.25">
      <c r="A178" s="1917" t="s">
        <v>65</v>
      </c>
      <c r="B178" s="1918"/>
      <c r="C178" s="1918"/>
      <c r="D178" s="1918"/>
      <c r="E178" s="1918"/>
      <c r="F178" s="1919"/>
      <c r="G178" s="119" t="s">
        <v>547</v>
      </c>
      <c r="H178" s="1920" t="s">
        <v>148</v>
      </c>
      <c r="I178" s="1944"/>
      <c r="J178" s="1944"/>
      <c r="K178" s="1944"/>
      <c r="L178" s="1944"/>
      <c r="M178" s="1944"/>
      <c r="N178" s="1944"/>
      <c r="O178" s="1944"/>
      <c r="P178" s="1944"/>
      <c r="Q178" s="1945"/>
    </row>
    <row r="179" spans="1:18" ht="15.75">
      <c r="A179" s="125"/>
      <c r="B179" s="138" t="s">
        <v>544</v>
      </c>
      <c r="C179" s="150"/>
      <c r="D179" s="150"/>
      <c r="E179" s="150"/>
      <c r="F179" s="228"/>
      <c r="G179" s="36"/>
      <c r="H179" s="36"/>
      <c r="I179" s="36"/>
      <c r="J179" s="36"/>
      <c r="K179" s="36"/>
      <c r="L179" s="36"/>
      <c r="M179" s="36"/>
      <c r="N179" s="36"/>
      <c r="O179" s="36"/>
      <c r="P179" s="36"/>
      <c r="Q179" s="38"/>
    </row>
    <row r="180" spans="1:18" ht="15.75">
      <c r="A180" s="125">
        <v>155</v>
      </c>
      <c r="B180" s="150"/>
      <c r="C180" s="126" t="s">
        <v>547</v>
      </c>
      <c r="D180" s="150"/>
      <c r="E180" s="127" t="s">
        <v>952</v>
      </c>
      <c r="F180" s="163" t="s">
        <v>451</v>
      </c>
      <c r="G180" s="222">
        <v>0</v>
      </c>
      <c r="H180" s="1934" t="s">
        <v>141</v>
      </c>
      <c r="I180" s="1924"/>
      <c r="J180" s="1924"/>
      <c r="K180" s="1924"/>
      <c r="L180" s="1924"/>
      <c r="M180" s="1924"/>
      <c r="N180" s="1924"/>
      <c r="O180" s="1924"/>
      <c r="P180" s="1924"/>
      <c r="Q180" s="1925"/>
      <c r="R180" s="103"/>
    </row>
    <row r="181" spans="1:18" ht="15.75">
      <c r="A181" s="125"/>
      <c r="B181" s="150"/>
      <c r="C181" s="150"/>
      <c r="D181" s="150"/>
      <c r="E181" s="127"/>
      <c r="F181" s="228"/>
      <c r="G181" s="36"/>
      <c r="H181" s="36"/>
      <c r="I181" s="36"/>
      <c r="J181" s="36"/>
      <c r="K181" s="36"/>
      <c r="L181" s="36"/>
      <c r="M181" s="36"/>
      <c r="N181" s="36"/>
      <c r="O181" s="165"/>
      <c r="P181" s="36"/>
      <c r="Q181" s="38"/>
    </row>
    <row r="182" spans="1:18" ht="15.75">
      <c r="A182" s="125"/>
      <c r="B182" s="150"/>
      <c r="C182" s="150"/>
      <c r="D182" s="150"/>
      <c r="E182" s="127"/>
      <c r="F182" s="228"/>
      <c r="G182" s="165" t="s">
        <v>116</v>
      </c>
      <c r="H182" s="1934" t="s">
        <v>95</v>
      </c>
      <c r="I182" s="1924"/>
      <c r="J182" s="1924"/>
      <c r="K182" s="1924"/>
      <c r="L182" s="1924"/>
      <c r="M182" s="1924"/>
      <c r="N182" s="1924"/>
      <c r="O182" s="1924"/>
      <c r="P182" s="1924"/>
      <c r="Q182" s="1925"/>
    </row>
    <row r="183" spans="1:18" ht="15.75">
      <c r="A183" s="125"/>
      <c r="B183" s="150"/>
      <c r="C183" s="150"/>
      <c r="D183" s="150"/>
      <c r="E183" s="127"/>
      <c r="F183" s="228"/>
      <c r="G183" s="165"/>
      <c r="H183" s="1934"/>
      <c r="I183" s="1924"/>
      <c r="J183" s="1924"/>
      <c r="K183" s="1924"/>
      <c r="L183" s="1924"/>
      <c r="M183" s="1924"/>
      <c r="N183" s="1924"/>
      <c r="O183" s="1924"/>
      <c r="P183" s="1924"/>
      <c r="Q183" s="1925"/>
    </row>
    <row r="184" spans="1:18" ht="16.5" thickBot="1">
      <c r="A184" s="155"/>
      <c r="B184" s="181"/>
      <c r="C184" s="181"/>
      <c r="D184" s="181"/>
      <c r="E184" s="159"/>
      <c r="F184" s="226"/>
      <c r="G184" s="73"/>
      <c r="H184" s="73"/>
      <c r="I184" s="73"/>
      <c r="J184" s="73"/>
      <c r="K184" s="215" t="s">
        <v>127</v>
      </c>
      <c r="L184" s="73"/>
      <c r="M184" s="73"/>
      <c r="N184" s="73"/>
      <c r="O184" s="73"/>
      <c r="P184" s="73"/>
      <c r="Q184" s="74"/>
    </row>
    <row r="185" spans="1:18" ht="15.75">
      <c r="A185" s="150"/>
      <c r="B185" s="150"/>
      <c r="C185" s="150"/>
      <c r="D185" s="150"/>
      <c r="E185" s="127"/>
      <c r="F185" s="150"/>
      <c r="G185" s="36"/>
      <c r="H185" s="36"/>
      <c r="I185" s="36"/>
      <c r="J185" s="36"/>
      <c r="K185" s="217"/>
      <c r="L185" s="36"/>
      <c r="M185" s="36"/>
      <c r="N185" s="36"/>
      <c r="O185" s="36"/>
      <c r="P185" s="36"/>
      <c r="Q185" s="36"/>
    </row>
    <row r="186" spans="1:18" ht="21" thickBot="1">
      <c r="A186" s="117" t="s">
        <v>563</v>
      </c>
      <c r="G186" s="99"/>
      <c r="H186" s="99"/>
      <c r="I186" s="99"/>
      <c r="J186" s="99"/>
      <c r="K186" s="99"/>
      <c r="L186" s="99"/>
      <c r="M186" s="99"/>
      <c r="N186" s="99"/>
      <c r="O186" s="99"/>
      <c r="P186" s="99"/>
      <c r="Q186" s="99"/>
    </row>
    <row r="187" spans="1:18" ht="18">
      <c r="A187" s="1917" t="s">
        <v>65</v>
      </c>
      <c r="B187" s="1918"/>
      <c r="C187" s="1918"/>
      <c r="D187" s="1918"/>
      <c r="E187" s="1918"/>
      <c r="F187" s="1919"/>
      <c r="G187" s="119" t="s">
        <v>128</v>
      </c>
      <c r="H187" s="1920" t="s">
        <v>149</v>
      </c>
      <c r="I187" s="1944"/>
      <c r="J187" s="1944"/>
      <c r="K187" s="1944"/>
      <c r="L187" s="1944"/>
      <c r="M187" s="1944"/>
      <c r="N187" s="1944"/>
      <c r="O187" s="1944"/>
      <c r="P187" s="1944"/>
      <c r="Q187" s="1945"/>
    </row>
    <row r="188" spans="1:18" ht="15.75">
      <c r="A188" s="125"/>
      <c r="B188" s="151" t="s">
        <v>548</v>
      </c>
      <c r="C188" s="140"/>
      <c r="D188" s="140"/>
      <c r="E188" s="123"/>
      <c r="F188" s="142"/>
      <c r="G188" s="36"/>
      <c r="H188" s="36"/>
      <c r="I188" s="36"/>
      <c r="J188" s="36"/>
      <c r="K188" s="36"/>
      <c r="L188" s="36"/>
      <c r="M188" s="36"/>
      <c r="N188" s="36"/>
      <c r="O188" s="36"/>
      <c r="P188" s="36"/>
      <c r="Q188" s="38"/>
    </row>
    <row r="189" spans="1:18" ht="16.5" thickBot="1">
      <c r="A189" s="155">
        <v>171</v>
      </c>
      <c r="B189" s="176"/>
      <c r="C189" s="157" t="s">
        <v>563</v>
      </c>
      <c r="D189" s="158"/>
      <c r="E189" s="181"/>
      <c r="F189" s="181"/>
      <c r="G189" s="236">
        <v>0</v>
      </c>
      <c r="H189" s="1954"/>
      <c r="I189" s="1932"/>
      <c r="J189" s="1932"/>
      <c r="K189" s="1932"/>
      <c r="L189" s="1932"/>
      <c r="M189" s="1932"/>
      <c r="N189" s="1932"/>
      <c r="O189" s="1932"/>
      <c r="P189" s="1932"/>
      <c r="Q189" s="1933"/>
    </row>
    <row r="190" spans="1:18" ht="15.75">
      <c r="A190" s="150"/>
      <c r="B190" s="150"/>
      <c r="C190" s="150"/>
      <c r="D190" s="150"/>
      <c r="E190" s="127"/>
      <c r="F190" s="150"/>
      <c r="G190" s="36"/>
      <c r="H190" s="36"/>
      <c r="I190" s="36"/>
      <c r="J190" s="36"/>
      <c r="K190" s="217"/>
      <c r="L190" s="36"/>
      <c r="M190" s="36"/>
      <c r="N190" s="36"/>
      <c r="O190" s="36"/>
      <c r="P190" s="36"/>
      <c r="Q190" s="36"/>
    </row>
    <row r="191" spans="1:18" ht="15.75">
      <c r="A191" s="150"/>
      <c r="B191" s="150"/>
      <c r="C191" s="150"/>
      <c r="D191" s="150"/>
      <c r="E191" s="127"/>
      <c r="F191" s="150"/>
      <c r="G191" s="36"/>
      <c r="H191" s="36"/>
      <c r="I191" s="36"/>
      <c r="J191" s="36"/>
      <c r="K191" s="217"/>
      <c r="L191" s="36"/>
      <c r="M191" s="36"/>
      <c r="N191" s="36"/>
      <c r="O191" s="36"/>
      <c r="P191" s="36"/>
      <c r="Q191" s="36"/>
    </row>
    <row r="192" spans="1:18" ht="15.75">
      <c r="A192" s="150"/>
      <c r="B192" s="150"/>
      <c r="C192" s="150"/>
      <c r="D192" s="150"/>
      <c r="E192" s="127"/>
      <c r="F192" s="150"/>
      <c r="G192" s="36"/>
      <c r="H192" s="36"/>
      <c r="I192" s="36"/>
      <c r="J192" s="36"/>
      <c r="K192" s="217"/>
      <c r="L192" s="36"/>
      <c r="M192" s="36"/>
      <c r="N192" s="36"/>
      <c r="O192" s="36"/>
      <c r="P192" s="36"/>
      <c r="Q192" s="36"/>
    </row>
    <row r="193" spans="1:17">
      <c r="G193" s="99"/>
      <c r="H193" s="99"/>
      <c r="I193" s="99"/>
      <c r="J193" s="99"/>
      <c r="K193" s="99"/>
      <c r="L193" s="99"/>
      <c r="M193" s="99"/>
      <c r="N193" s="99"/>
      <c r="O193" s="99"/>
      <c r="P193" s="99"/>
      <c r="Q193" s="99"/>
    </row>
    <row r="194" spans="1:17" ht="21" thickBot="1">
      <c r="A194" s="117" t="s">
        <v>150</v>
      </c>
      <c r="G194" s="99"/>
      <c r="H194" s="99"/>
      <c r="I194" s="99"/>
      <c r="J194" s="99"/>
      <c r="K194" s="99"/>
      <c r="L194" s="99"/>
      <c r="M194" s="99"/>
      <c r="N194" s="99"/>
      <c r="O194" s="99"/>
      <c r="P194" s="99"/>
      <c r="Q194" s="99"/>
    </row>
    <row r="195" spans="1:17" ht="18">
      <c r="A195" s="1917" t="s">
        <v>65</v>
      </c>
      <c r="B195" s="1918"/>
      <c r="C195" s="1918"/>
      <c r="D195" s="1918"/>
      <c r="E195" s="1918"/>
      <c r="F195" s="1919"/>
      <c r="G195" s="119" t="s">
        <v>566</v>
      </c>
      <c r="H195" s="1920" t="s">
        <v>149</v>
      </c>
      <c r="I195" s="1944"/>
      <c r="J195" s="1944"/>
      <c r="K195" s="1944"/>
      <c r="L195" s="1944"/>
      <c r="M195" s="1944"/>
      <c r="N195" s="1944"/>
      <c r="O195" s="1944"/>
      <c r="P195" s="1944"/>
      <c r="Q195" s="1945"/>
    </row>
    <row r="196" spans="1:17" ht="15.75">
      <c r="A196" s="125"/>
      <c r="B196" s="151" t="s">
        <v>151</v>
      </c>
      <c r="C196" s="140"/>
      <c r="D196" s="140"/>
      <c r="E196" s="123"/>
      <c r="F196" s="142"/>
      <c r="G196" s="36"/>
      <c r="H196" s="36"/>
      <c r="I196" s="36"/>
      <c r="J196" s="36"/>
      <c r="K196" s="36"/>
      <c r="L196" s="36"/>
      <c r="M196" s="36"/>
      <c r="N196" s="36"/>
      <c r="O196" s="36"/>
      <c r="P196" s="36"/>
      <c r="Q196" s="38"/>
    </row>
    <row r="197" spans="1:17" ht="16.5" thickBot="1">
      <c r="A197" s="155">
        <v>173</v>
      </c>
      <c r="B197" s="176"/>
      <c r="C197" s="157" t="s">
        <v>566</v>
      </c>
      <c r="D197" s="158"/>
      <c r="E197" s="159" t="s">
        <v>977</v>
      </c>
      <c r="F197" s="178" t="s">
        <v>451</v>
      </c>
      <c r="G197" s="1388">
        <v>6190.7</v>
      </c>
      <c r="H197" s="1954" t="s">
        <v>87</v>
      </c>
      <c r="I197" s="1932"/>
      <c r="J197" s="1932"/>
      <c r="K197" s="1932"/>
      <c r="L197" s="1932"/>
      <c r="M197" s="1932"/>
      <c r="N197" s="1932"/>
      <c r="O197" s="1932"/>
      <c r="P197" s="1932"/>
      <c r="Q197" s="1933"/>
    </row>
    <row r="198" spans="1:17">
      <c r="G198" s="99"/>
      <c r="H198" s="99"/>
      <c r="I198" s="99"/>
      <c r="J198" s="99"/>
      <c r="K198" s="99"/>
      <c r="L198" s="99"/>
      <c r="M198" s="99"/>
      <c r="N198" s="99"/>
      <c r="O198" s="99"/>
      <c r="P198" s="99"/>
      <c r="Q198" s="99"/>
    </row>
    <row r="199" spans="1:17">
      <c r="G199" s="99"/>
      <c r="H199" s="99"/>
      <c r="I199" s="99"/>
      <c r="J199" s="99"/>
      <c r="K199" s="99"/>
      <c r="L199" s="99"/>
      <c r="M199" s="99"/>
      <c r="N199" s="99"/>
      <c r="O199" s="99"/>
      <c r="P199" s="99"/>
      <c r="Q199" s="99"/>
    </row>
    <row r="200" spans="1:17" ht="21" thickBot="1">
      <c r="A200" s="117" t="s">
        <v>152</v>
      </c>
      <c r="G200" s="99"/>
      <c r="H200" s="99"/>
      <c r="I200" s="99"/>
      <c r="J200" s="99"/>
      <c r="K200" s="99"/>
      <c r="L200" s="99"/>
      <c r="M200" s="99"/>
      <c r="N200" s="99"/>
      <c r="O200" s="99"/>
      <c r="P200" s="99"/>
      <c r="Q200" s="99"/>
    </row>
    <row r="201" spans="1:17" ht="18">
      <c r="A201" s="237"/>
      <c r="B201" s="238"/>
      <c r="C201" s="239" t="s">
        <v>153</v>
      </c>
      <c r="D201" s="239" t="s">
        <v>154</v>
      </c>
      <c r="E201" s="239" t="s">
        <v>155</v>
      </c>
      <c r="F201" s="239" t="s">
        <v>156</v>
      </c>
      <c r="G201" s="1962" t="s">
        <v>157</v>
      </c>
      <c r="H201" s="1963"/>
      <c r="I201" s="1964" t="s">
        <v>158</v>
      </c>
      <c r="J201" s="1963"/>
      <c r="K201" s="1964" t="s">
        <v>159</v>
      </c>
      <c r="L201" s="1963"/>
      <c r="M201" s="240"/>
      <c r="N201" s="240"/>
      <c r="O201" s="240"/>
      <c r="P201" s="240"/>
      <c r="Q201" s="241"/>
    </row>
    <row r="202" spans="1:17" ht="15.75">
      <c r="A202" s="125"/>
      <c r="B202" s="138"/>
      <c r="C202" s="150" t="s">
        <v>160</v>
      </c>
      <c r="D202" s="150"/>
      <c r="E202" s="242"/>
      <c r="F202" s="242"/>
      <c r="G202" s="1955">
        <v>0</v>
      </c>
      <c r="H202" s="1956"/>
      <c r="I202" s="1957">
        <v>0</v>
      </c>
      <c r="J202" s="1956"/>
      <c r="K202" s="1957">
        <v>0</v>
      </c>
      <c r="L202" s="1956"/>
      <c r="M202" s="243"/>
      <c r="N202" s="243"/>
      <c r="O202" s="243"/>
      <c r="P202" s="243"/>
      <c r="Q202" s="244"/>
    </row>
    <row r="203" spans="1:17" ht="15.75">
      <c r="A203" s="125"/>
      <c r="B203" s="150"/>
      <c r="C203" s="150"/>
      <c r="D203" s="150"/>
      <c r="E203" s="242"/>
      <c r="F203" s="242"/>
      <c r="G203" s="1958"/>
      <c r="H203" s="1959"/>
      <c r="I203" s="1960"/>
      <c r="J203" s="1959"/>
      <c r="K203" s="1960"/>
      <c r="L203" s="1961"/>
      <c r="M203" s="245"/>
      <c r="N203" s="245"/>
      <c r="O203" s="245"/>
      <c r="P203" s="245"/>
      <c r="Q203" s="246"/>
    </row>
    <row r="204" spans="1:17" ht="15.75">
      <c r="A204" s="125"/>
      <c r="B204" s="150"/>
      <c r="C204" s="150"/>
      <c r="D204" s="150"/>
      <c r="E204" s="242"/>
      <c r="F204" s="242"/>
      <c r="G204" s="247"/>
      <c r="H204" s="248"/>
      <c r="I204" s="249"/>
      <c r="J204" s="250"/>
      <c r="K204" s="249"/>
      <c r="L204" s="250"/>
      <c r="M204" s="245"/>
      <c r="N204" s="245"/>
      <c r="O204" s="245"/>
      <c r="P204" s="245"/>
      <c r="Q204" s="246"/>
    </row>
    <row r="205" spans="1:17" ht="16.5" thickBot="1">
      <c r="A205" s="155"/>
      <c r="B205" s="181"/>
      <c r="C205" s="181" t="s">
        <v>59</v>
      </c>
      <c r="D205" s="181"/>
      <c r="E205" s="159"/>
      <c r="F205" s="181"/>
      <c r="G205" s="1976">
        <v>0</v>
      </c>
      <c r="H205" s="1977"/>
      <c r="I205" s="1978">
        <v>0</v>
      </c>
      <c r="J205" s="1977"/>
      <c r="K205" s="1978">
        <v>0</v>
      </c>
      <c r="L205" s="1977"/>
      <c r="M205" s="251"/>
      <c r="N205" s="251"/>
      <c r="O205" s="251"/>
      <c r="P205" s="251"/>
      <c r="Q205" s="252"/>
    </row>
    <row r="206" spans="1:17">
      <c r="G206" s="99"/>
      <c r="H206" s="99"/>
      <c r="I206" s="99"/>
      <c r="J206" s="99"/>
      <c r="K206" s="99"/>
      <c r="L206" s="99"/>
      <c r="M206" s="99"/>
      <c r="N206" s="99"/>
      <c r="O206" s="99"/>
      <c r="P206" s="99"/>
      <c r="Q206" s="99"/>
    </row>
    <row r="207" spans="1:17">
      <c r="G207" s="99"/>
      <c r="H207" s="99"/>
      <c r="I207" s="99"/>
      <c r="J207" s="99"/>
      <c r="K207" s="99"/>
      <c r="L207" s="99"/>
      <c r="M207" s="99"/>
      <c r="N207" s="99"/>
      <c r="O207" s="99"/>
      <c r="P207" s="99"/>
      <c r="Q207" s="99"/>
    </row>
    <row r="208" spans="1:17" ht="21" thickBot="1">
      <c r="A208" s="253" t="s">
        <v>1143</v>
      </c>
      <c r="B208" s="254"/>
      <c r="C208" s="254"/>
      <c r="G208" s="99"/>
      <c r="H208" s="99"/>
      <c r="I208" s="99"/>
      <c r="J208" s="99"/>
      <c r="K208" s="99"/>
      <c r="L208" s="99"/>
      <c r="M208" s="99"/>
      <c r="N208" s="99"/>
      <c r="O208" s="99"/>
      <c r="P208" s="99"/>
      <c r="Q208" s="99"/>
    </row>
    <row r="209" spans="1:17" ht="18.75">
      <c r="A209" s="1917" t="s">
        <v>65</v>
      </c>
      <c r="B209" s="1918"/>
      <c r="C209" s="1918"/>
      <c r="D209" s="1918"/>
      <c r="E209" s="1918"/>
      <c r="F209" s="1919"/>
      <c r="G209" s="255"/>
      <c r="H209" s="255"/>
      <c r="I209" s="255"/>
      <c r="J209" s="255"/>
      <c r="K209" s="255"/>
      <c r="L209" s="255"/>
      <c r="M209" s="255"/>
      <c r="N209" s="255"/>
      <c r="O209" s="255"/>
      <c r="P209" s="255"/>
      <c r="Q209" s="255"/>
    </row>
    <row r="210" spans="1:17" ht="16.5">
      <c r="A210" s="256" t="s">
        <v>9</v>
      </c>
      <c r="B210" s="224" t="s">
        <v>161</v>
      </c>
      <c r="C210" s="224"/>
      <c r="D210" s="224" t="s">
        <v>162</v>
      </c>
      <c r="E210" s="1385">
        <v>616472.36</v>
      </c>
      <c r="F210" s="257"/>
      <c r="G210" s="255"/>
      <c r="H210" s="255"/>
      <c r="I210" s="255"/>
      <c r="J210" s="255"/>
      <c r="K210" s="255"/>
      <c r="L210" s="255"/>
      <c r="M210" s="255"/>
      <c r="N210" s="255"/>
      <c r="O210" s="255"/>
      <c r="P210" s="255"/>
      <c r="Q210" s="255"/>
    </row>
    <row r="211" spans="1:17" ht="16.5">
      <c r="A211" s="256" t="s">
        <v>10</v>
      </c>
      <c r="B211" s="224" t="s">
        <v>163</v>
      </c>
      <c r="C211" s="224"/>
      <c r="D211" s="224" t="s">
        <v>162</v>
      </c>
      <c r="E211" s="442">
        <v>60</v>
      </c>
      <c r="F211" s="257"/>
      <c r="G211" s="255"/>
      <c r="H211" s="255"/>
      <c r="I211" s="255"/>
      <c r="J211" s="255"/>
      <c r="K211" s="255"/>
      <c r="L211" s="255"/>
      <c r="M211" s="255"/>
      <c r="N211" s="255"/>
      <c r="O211" s="255"/>
      <c r="P211" s="255"/>
      <c r="Q211" s="255"/>
    </row>
    <row r="212" spans="1:17" ht="16.5">
      <c r="A212" s="256" t="s">
        <v>11</v>
      </c>
      <c r="B212" s="224" t="s">
        <v>1144</v>
      </c>
      <c r="C212" s="224"/>
      <c r="D212" s="224" t="s">
        <v>164</v>
      </c>
      <c r="E212" s="453">
        <f>+E210/E211</f>
        <v>10274.539333333332</v>
      </c>
      <c r="F212" s="257"/>
      <c r="G212" s="255"/>
      <c r="H212" s="255"/>
      <c r="I212" s="255"/>
      <c r="J212" s="255"/>
      <c r="K212" s="255"/>
      <c r="L212" s="255"/>
      <c r="M212" s="255"/>
      <c r="N212" s="255"/>
      <c r="O212" s="255"/>
      <c r="P212" s="255"/>
      <c r="Q212" s="255"/>
    </row>
    <row r="213" spans="1:17" ht="16.5">
      <c r="A213" s="256" t="s">
        <v>14</v>
      </c>
      <c r="B213" s="224" t="s">
        <v>165</v>
      </c>
      <c r="C213" s="224"/>
      <c r="D213" s="224"/>
      <c r="E213" s="1386">
        <v>12</v>
      </c>
      <c r="F213" s="257"/>
      <c r="G213" s="255"/>
      <c r="H213" s="255"/>
      <c r="I213" s="255"/>
      <c r="J213" s="255"/>
      <c r="K213" s="255"/>
      <c r="L213" s="255"/>
      <c r="M213" s="255"/>
      <c r="N213" s="255"/>
      <c r="O213" s="255"/>
      <c r="P213" s="255"/>
      <c r="Q213" s="255"/>
    </row>
    <row r="214" spans="1:17" ht="16.5">
      <c r="A214" s="256" t="s">
        <v>166</v>
      </c>
      <c r="B214" s="224" t="s">
        <v>1522</v>
      </c>
      <c r="C214" s="224"/>
      <c r="D214" s="224" t="s">
        <v>167</v>
      </c>
      <c r="E214" s="1385">
        <f>+E212*E213</f>
        <v>123294.47199999998</v>
      </c>
      <c r="F214" s="258" t="s">
        <v>168</v>
      </c>
      <c r="G214" s="255"/>
      <c r="H214" s="255"/>
      <c r="I214" s="255"/>
      <c r="J214" s="255"/>
      <c r="K214" s="255"/>
      <c r="L214" s="255"/>
      <c r="M214" s="255"/>
      <c r="N214" s="255"/>
      <c r="O214" s="255"/>
      <c r="P214" s="255"/>
      <c r="Q214" s="255"/>
    </row>
    <row r="215" spans="1:17" ht="16.5">
      <c r="A215" s="256" t="s">
        <v>169</v>
      </c>
      <c r="B215" s="224" t="s">
        <v>170</v>
      </c>
      <c r="C215" s="224"/>
      <c r="D215" s="224"/>
      <c r="E215" s="1385">
        <v>19179.14</v>
      </c>
      <c r="F215" s="258"/>
      <c r="G215" s="255"/>
      <c r="H215" s="255"/>
      <c r="I215" s="255"/>
      <c r="J215" s="255"/>
      <c r="K215" s="255"/>
      <c r="L215" s="255"/>
      <c r="M215" s="255"/>
      <c r="N215" s="255"/>
      <c r="O215" s="255"/>
      <c r="P215" s="255"/>
      <c r="Q215" s="255"/>
    </row>
    <row r="216" spans="1:17" ht="17.25" thickBot="1">
      <c r="A216" s="259" t="s">
        <v>171</v>
      </c>
      <c r="B216" s="260" t="s">
        <v>172</v>
      </c>
      <c r="C216" s="261"/>
      <c r="D216" s="260" t="s">
        <v>173</v>
      </c>
      <c r="E216" s="1387">
        <f>+E210-E214-E215</f>
        <v>473998.74800000002</v>
      </c>
      <c r="F216" s="262"/>
      <c r="G216" s="255"/>
      <c r="H216" s="299"/>
      <c r="I216" s="255"/>
      <c r="J216" s="255"/>
      <c r="K216" s="255"/>
      <c r="L216" s="255"/>
      <c r="M216" s="255"/>
      <c r="N216" s="255"/>
      <c r="O216" s="255"/>
      <c r="P216" s="255"/>
      <c r="Q216" s="255"/>
    </row>
    <row r="217" spans="1:17" ht="16.5">
      <c r="G217" s="255"/>
      <c r="H217" s="255"/>
      <c r="I217" s="255"/>
      <c r="J217" s="255"/>
      <c r="K217" s="255"/>
      <c r="L217" s="255"/>
      <c r="M217" s="255"/>
      <c r="N217" s="255"/>
      <c r="O217" s="255"/>
      <c r="P217" s="255"/>
      <c r="Q217" s="255"/>
    </row>
    <row r="218" spans="1:17" ht="21" thickBot="1">
      <c r="A218" s="253" t="s">
        <v>174</v>
      </c>
      <c r="B218" s="254"/>
      <c r="C218" s="254"/>
      <c r="G218" s="255"/>
      <c r="H218" s="255"/>
      <c r="I218" s="255"/>
      <c r="J218" s="255"/>
      <c r="K218" s="255"/>
      <c r="L218" s="255"/>
      <c r="M218" s="255"/>
      <c r="N218" s="255"/>
      <c r="O218" s="255"/>
      <c r="P218" s="255"/>
      <c r="Q218" s="255"/>
    </row>
    <row r="219" spans="1:17" ht="18.75">
      <c r="A219" s="1917" t="s">
        <v>65</v>
      </c>
      <c r="B219" s="1918"/>
      <c r="C219" s="1918"/>
      <c r="D219" s="1918"/>
      <c r="E219" s="1918"/>
      <c r="F219" s="1919"/>
      <c r="G219" s="255"/>
      <c r="H219" s="255"/>
      <c r="I219" s="255"/>
      <c r="J219" s="255"/>
      <c r="K219" s="255"/>
      <c r="L219" s="255"/>
      <c r="M219" s="255"/>
      <c r="N219" s="255"/>
      <c r="O219" s="255"/>
      <c r="P219" s="255"/>
      <c r="Q219" s="255"/>
    </row>
    <row r="220" spans="1:17" ht="16.5">
      <c r="A220" s="263"/>
      <c r="B220" s="264"/>
      <c r="C220" s="264"/>
      <c r="D220" s="265" t="s">
        <v>175</v>
      </c>
      <c r="E220" s="266" t="s">
        <v>176</v>
      </c>
      <c r="F220" s="267" t="s">
        <v>59</v>
      </c>
      <c r="G220" s="255"/>
      <c r="H220" s="255"/>
      <c r="I220" s="255"/>
      <c r="J220" s="255"/>
      <c r="K220" s="255"/>
      <c r="L220" s="255"/>
      <c r="M220" s="255"/>
      <c r="N220" s="255"/>
      <c r="O220" s="255"/>
      <c r="P220" s="255"/>
      <c r="Q220" s="255"/>
    </row>
    <row r="221" spans="1:17" ht="16.5">
      <c r="A221" s="263" t="s">
        <v>177</v>
      </c>
      <c r="B221" s="264"/>
      <c r="C221" s="264" t="s">
        <v>178</v>
      </c>
      <c r="D221" s="268">
        <v>9750649</v>
      </c>
      <c r="E221" s="268">
        <v>12725412</v>
      </c>
      <c r="F221" s="269">
        <v>22476061</v>
      </c>
      <c r="G221" s="255"/>
      <c r="H221" s="255"/>
      <c r="I221" s="255"/>
      <c r="J221" s="255"/>
      <c r="K221" s="255"/>
      <c r="L221" s="255"/>
      <c r="M221" s="255"/>
      <c r="N221" s="255"/>
      <c r="O221" s="255"/>
      <c r="P221" s="255"/>
      <c r="Q221" s="255"/>
    </row>
    <row r="222" spans="1:17" ht="16.5">
      <c r="A222" s="263" t="s">
        <v>177</v>
      </c>
      <c r="B222" s="264"/>
      <c r="C222" s="264" t="s">
        <v>179</v>
      </c>
      <c r="D222" s="270">
        <v>14666395</v>
      </c>
      <c r="E222" s="271">
        <v>16524210</v>
      </c>
      <c r="F222" s="269">
        <v>31190605</v>
      </c>
      <c r="G222" s="255"/>
      <c r="H222" s="255"/>
      <c r="I222" s="255"/>
      <c r="J222" s="255"/>
      <c r="K222" s="255"/>
      <c r="L222" s="255"/>
      <c r="M222" s="255"/>
      <c r="N222" s="255"/>
      <c r="O222" s="255"/>
      <c r="P222" s="255"/>
      <c r="Q222" s="255"/>
    </row>
    <row r="223" spans="1:17" ht="16.5">
      <c r="A223" s="263" t="s">
        <v>177</v>
      </c>
      <c r="B223" s="264"/>
      <c r="C223" s="272" t="s">
        <v>180</v>
      </c>
      <c r="D223" s="273">
        <v>12208522</v>
      </c>
      <c r="E223" s="274">
        <v>14624812</v>
      </c>
      <c r="F223" s="275">
        <v>26833334</v>
      </c>
      <c r="G223" s="255"/>
      <c r="H223" s="255"/>
      <c r="I223" s="255"/>
      <c r="J223" s="255"/>
      <c r="K223" s="255"/>
      <c r="L223" s="255"/>
      <c r="M223" s="255"/>
      <c r="N223" s="255"/>
      <c r="O223" s="255"/>
      <c r="P223" s="255"/>
      <c r="Q223" s="255"/>
    </row>
    <row r="224" spans="1:17" ht="17.25" thickBot="1">
      <c r="A224" s="276"/>
      <c r="B224" s="277"/>
      <c r="C224" s="278" t="s">
        <v>59</v>
      </c>
      <c r="D224" s="279">
        <v>36625566</v>
      </c>
      <c r="E224" s="280">
        <v>43874434</v>
      </c>
      <c r="F224" s="281">
        <v>80500000</v>
      </c>
      <c r="G224" s="255"/>
      <c r="H224" s="255"/>
      <c r="I224" s="255"/>
      <c r="J224" s="255"/>
      <c r="K224" s="255"/>
      <c r="L224" s="255"/>
      <c r="M224" s="255"/>
      <c r="N224" s="255"/>
      <c r="O224" s="255"/>
      <c r="P224" s="255"/>
      <c r="Q224" s="255"/>
    </row>
    <row r="225" spans="1:17" ht="16.5">
      <c r="G225" s="255"/>
      <c r="H225" s="255"/>
      <c r="I225" s="255"/>
      <c r="J225" s="255"/>
      <c r="K225" s="255"/>
      <c r="L225" s="255"/>
      <c r="M225" s="255"/>
      <c r="N225" s="255"/>
      <c r="O225" s="255"/>
      <c r="P225" s="255"/>
      <c r="Q225" s="255"/>
    </row>
    <row r="226" spans="1:17" ht="16.5">
      <c r="G226" s="255"/>
      <c r="H226" s="255"/>
      <c r="I226" s="255"/>
      <c r="J226" s="255"/>
      <c r="K226" s="255"/>
      <c r="L226" s="255"/>
      <c r="M226" s="255"/>
      <c r="N226" s="255"/>
      <c r="O226" s="255"/>
      <c r="P226" s="255"/>
      <c r="Q226" s="255"/>
    </row>
    <row r="227" spans="1:17" ht="21" thickBot="1">
      <c r="A227" s="282" t="s">
        <v>181</v>
      </c>
      <c r="B227" s="283"/>
      <c r="C227" s="283"/>
      <c r="D227" s="105"/>
      <c r="E227" s="105"/>
      <c r="F227" s="105"/>
      <c r="G227" s="284"/>
      <c r="H227" s="284"/>
      <c r="I227" s="284"/>
      <c r="J227" s="284"/>
      <c r="K227" s="284"/>
      <c r="L227" s="284"/>
      <c r="M227" s="284"/>
      <c r="N227" s="284"/>
      <c r="O227" s="284"/>
      <c r="P227" s="284"/>
      <c r="Q227" s="284"/>
    </row>
    <row r="228" spans="1:17" ht="18.75">
      <c r="A228" s="1946" t="s">
        <v>65</v>
      </c>
      <c r="B228" s="1947"/>
      <c r="C228" s="1947"/>
      <c r="D228" s="1947"/>
      <c r="E228" s="1947"/>
      <c r="F228" s="1947"/>
      <c r="G228" s="285"/>
      <c r="H228" s="285"/>
      <c r="I228" s="285"/>
      <c r="J228" s="285"/>
      <c r="K228" s="285"/>
      <c r="L228" s="285"/>
      <c r="M228" s="285"/>
      <c r="N228" s="285"/>
      <c r="O228" s="285"/>
      <c r="P228" s="285"/>
      <c r="Q228" s="286"/>
    </row>
    <row r="229" spans="1:17">
      <c r="A229" s="287" t="s">
        <v>182</v>
      </c>
      <c r="B229" s="288"/>
      <c r="C229" s="288"/>
      <c r="D229" s="289">
        <v>-2617572</v>
      </c>
      <c r="E229" s="1971" t="s">
        <v>183</v>
      </c>
      <c r="F229" s="1972"/>
      <c r="G229" s="1972"/>
      <c r="H229" s="1972"/>
      <c r="I229" s="1972"/>
      <c r="J229" s="1972"/>
      <c r="K229" s="1972"/>
      <c r="L229" s="1972"/>
      <c r="M229" s="1972"/>
      <c r="N229" s="1972"/>
      <c r="O229" s="1972"/>
      <c r="P229" s="1972"/>
      <c r="Q229" s="1973"/>
    </row>
    <row r="230" spans="1:17">
      <c r="A230" s="287"/>
      <c r="B230" s="288"/>
      <c r="C230" s="288"/>
      <c r="D230" s="290"/>
      <c r="E230" s="1972"/>
      <c r="F230" s="1972"/>
      <c r="G230" s="1972"/>
      <c r="H230" s="1972"/>
      <c r="I230" s="1972"/>
      <c r="J230" s="1972"/>
      <c r="K230" s="1972"/>
      <c r="L230" s="1972"/>
      <c r="M230" s="1972"/>
      <c r="N230" s="1972"/>
      <c r="O230" s="1972"/>
      <c r="P230" s="1972"/>
      <c r="Q230" s="1973"/>
    </row>
    <row r="231" spans="1:17">
      <c r="A231" s="212"/>
      <c r="B231" s="288"/>
      <c r="C231" s="288"/>
      <c r="D231" s="290"/>
      <c r="E231" s="1972"/>
      <c r="F231" s="1972"/>
      <c r="G231" s="1972"/>
      <c r="H231" s="1972"/>
      <c r="I231" s="1972"/>
      <c r="J231" s="1972"/>
      <c r="K231" s="1972"/>
      <c r="L231" s="1972"/>
      <c r="M231" s="1972"/>
      <c r="N231" s="1972"/>
      <c r="O231" s="1972"/>
      <c r="P231" s="1972"/>
      <c r="Q231" s="1973"/>
    </row>
    <row r="232" spans="1:17">
      <c r="A232" s="287"/>
      <c r="B232" s="288"/>
      <c r="C232" s="288"/>
      <c r="D232" s="290"/>
      <c r="E232" s="1972"/>
      <c r="F232" s="1972"/>
      <c r="G232" s="1972"/>
      <c r="H232" s="1972"/>
      <c r="I232" s="1972"/>
      <c r="J232" s="1972"/>
      <c r="K232" s="1972"/>
      <c r="L232" s="1972"/>
      <c r="M232" s="1972"/>
      <c r="N232" s="1972"/>
      <c r="O232" s="1972"/>
      <c r="P232" s="1972"/>
      <c r="Q232" s="1973"/>
    </row>
    <row r="233" spans="1:17">
      <c r="A233" s="287"/>
      <c r="B233" s="288"/>
      <c r="C233" s="288"/>
      <c r="D233" s="290"/>
      <c r="E233" s="1972"/>
      <c r="F233" s="1972"/>
      <c r="G233" s="1972"/>
      <c r="H233" s="1972"/>
      <c r="I233" s="1972"/>
      <c r="J233" s="1972"/>
      <c r="K233" s="1972"/>
      <c r="L233" s="1972"/>
      <c r="M233" s="1972"/>
      <c r="N233" s="1972"/>
      <c r="O233" s="1972"/>
      <c r="P233" s="1972"/>
      <c r="Q233" s="1973"/>
    </row>
    <row r="234" spans="1:17" ht="15.75" thickBot="1">
      <c r="A234" s="218"/>
      <c r="B234" s="168"/>
      <c r="C234" s="168"/>
      <c r="D234" s="168"/>
      <c r="E234" s="1974"/>
      <c r="F234" s="1974"/>
      <c r="G234" s="1974"/>
      <c r="H234" s="1974"/>
      <c r="I234" s="1974"/>
      <c r="J234" s="1974"/>
      <c r="K234" s="1974"/>
      <c r="L234" s="1974"/>
      <c r="M234" s="1974"/>
      <c r="N234" s="1974"/>
      <c r="O234" s="1974"/>
      <c r="P234" s="1974"/>
      <c r="Q234" s="1975"/>
    </row>
    <row r="235" spans="1:17" ht="17.25" thickBot="1">
      <c r="G235" s="255"/>
      <c r="H235" s="255"/>
      <c r="I235" s="255"/>
      <c r="J235" s="255"/>
      <c r="K235" s="255"/>
      <c r="L235" s="255"/>
      <c r="M235" s="255"/>
      <c r="N235" s="255"/>
      <c r="O235" s="255"/>
      <c r="P235" s="255"/>
      <c r="Q235" s="255"/>
    </row>
    <row r="236" spans="1:17" ht="18.75" thickBot="1">
      <c r="A236" s="1985" t="s">
        <v>1148</v>
      </c>
      <c r="B236" s="1986"/>
      <c r="C236" s="1986"/>
      <c r="D236" s="1986"/>
      <c r="E236" s="1986"/>
      <c r="F236" s="1987"/>
      <c r="G236" s="1130"/>
      <c r="H236" s="1130"/>
      <c r="I236" s="1130"/>
      <c r="J236" s="1130"/>
      <c r="K236" s="1131"/>
      <c r="L236" s="1131"/>
      <c r="M236" s="1131"/>
      <c r="N236" s="1131"/>
      <c r="O236" s="1131"/>
      <c r="P236" s="1132"/>
    </row>
    <row r="237" spans="1:17" ht="37.5" customHeight="1">
      <c r="A237" s="1917"/>
      <c r="B237" s="1918"/>
      <c r="C237" s="1918" t="s">
        <v>1149</v>
      </c>
      <c r="D237" s="1918"/>
      <c r="E237" s="1918"/>
      <c r="F237" s="1919"/>
      <c r="G237" s="1130" t="s">
        <v>1150</v>
      </c>
      <c r="H237" s="1130" t="s">
        <v>1151</v>
      </c>
      <c r="I237" s="1133" t="s">
        <v>1160</v>
      </c>
      <c r="J237" s="1131"/>
      <c r="K237" s="1131"/>
      <c r="L237" s="1131"/>
      <c r="M237" s="1131"/>
      <c r="N237" s="1131"/>
      <c r="O237" s="1131"/>
      <c r="P237" s="1132"/>
    </row>
    <row r="238" spans="1:17" ht="15.75">
      <c r="A238" s="1134"/>
      <c r="B238" s="216"/>
      <c r="C238" s="216"/>
      <c r="D238" s="1362"/>
      <c r="E238" s="216"/>
      <c r="F238" s="163"/>
      <c r="G238" s="52"/>
      <c r="H238" s="80"/>
      <c r="I238" s="36"/>
      <c r="J238" s="36"/>
      <c r="K238" s="36"/>
      <c r="L238" s="36"/>
      <c r="M238" s="36"/>
      <c r="N238" s="36"/>
      <c r="O238" s="36"/>
      <c r="P238" s="38"/>
    </row>
    <row r="239" spans="1:17" ht="15.75" customHeight="1">
      <c r="A239" s="125">
        <v>6</v>
      </c>
      <c r="B239" s="150"/>
      <c r="C239" s="126" t="s">
        <v>186</v>
      </c>
      <c r="D239" s="1362"/>
      <c r="E239" s="216"/>
      <c r="F239" s="163" t="s">
        <v>1152</v>
      </c>
      <c r="G239" s="61">
        <v>10265896726</v>
      </c>
      <c r="H239" s="1113">
        <f>76000000+76000000+40685+20104179</f>
        <v>172144864</v>
      </c>
      <c r="I239" s="1113">
        <f>+G239-H239</f>
        <v>10093751862</v>
      </c>
      <c r="J239" s="1136" t="s">
        <v>2001</v>
      </c>
      <c r="K239" s="134"/>
      <c r="L239" s="134"/>
      <c r="M239" s="134"/>
      <c r="N239" s="134"/>
      <c r="O239" s="134"/>
      <c r="P239" s="1135"/>
    </row>
    <row r="240" spans="1:17" ht="15.75">
      <c r="A240" s="125">
        <v>9</v>
      </c>
      <c r="B240" s="150"/>
      <c r="C240" s="126" t="s">
        <v>187</v>
      </c>
      <c r="D240" s="1362"/>
      <c r="E240" s="216"/>
      <c r="F240" s="163" t="s">
        <v>1153</v>
      </c>
      <c r="G240" s="61">
        <v>3352343656</v>
      </c>
      <c r="H240" s="1113"/>
      <c r="I240" s="1113">
        <f t="shared" ref="I240:I244" si="13">+G240-H240</f>
        <v>3352343656</v>
      </c>
      <c r="J240" s="1544"/>
      <c r="K240" s="36"/>
      <c r="L240" s="36"/>
      <c r="M240" s="36"/>
      <c r="N240" s="36"/>
      <c r="O240" s="36"/>
      <c r="P240" s="38"/>
    </row>
    <row r="241" spans="1:20" ht="27" customHeight="1">
      <c r="A241" s="125">
        <v>10</v>
      </c>
      <c r="B241" s="292"/>
      <c r="C241" s="126" t="s">
        <v>188</v>
      </c>
      <c r="D241" s="1363"/>
      <c r="E241" s="292"/>
      <c r="F241" s="163" t="s">
        <v>1154</v>
      </c>
      <c r="G241" s="61">
        <v>212053290</v>
      </c>
      <c r="H241" s="1113">
        <f>76000000+76000000+40683+3262860</f>
        <v>155303543</v>
      </c>
      <c r="I241" s="1113">
        <f t="shared" si="13"/>
        <v>56749747</v>
      </c>
      <c r="J241" s="1988" t="s">
        <v>2002</v>
      </c>
      <c r="K241" s="1988"/>
      <c r="L241" s="1988"/>
      <c r="M241" s="1988"/>
      <c r="N241" s="1988"/>
      <c r="O241" s="1988"/>
      <c r="P241" s="1968"/>
    </row>
    <row r="242" spans="1:20" ht="18">
      <c r="A242" s="125">
        <v>19</v>
      </c>
      <c r="B242" s="292"/>
      <c r="C242" s="126" t="s">
        <v>403</v>
      </c>
      <c r="D242" s="1363"/>
      <c r="E242" s="292"/>
      <c r="F242" s="163" t="s">
        <v>1155</v>
      </c>
      <c r="G242" s="61">
        <v>1846704957</v>
      </c>
      <c r="H242" s="1113">
        <v>76000000</v>
      </c>
      <c r="I242" s="1113">
        <f t="shared" si="13"/>
        <v>1770704957</v>
      </c>
      <c r="J242" s="36" t="s">
        <v>1156</v>
      </c>
      <c r="K242" s="36"/>
      <c r="L242" s="36"/>
      <c r="M242" s="36"/>
      <c r="N242" s="36"/>
      <c r="O242" s="36"/>
      <c r="P242" s="38"/>
    </row>
    <row r="243" spans="1:20" ht="15.75">
      <c r="A243" s="125">
        <v>23</v>
      </c>
      <c r="B243" s="150"/>
      <c r="C243" s="126" t="s">
        <v>189</v>
      </c>
      <c r="D243" s="1362"/>
      <c r="E243" s="216"/>
      <c r="F243" s="163" t="s">
        <v>1157</v>
      </c>
      <c r="G243" s="61">
        <f>430540228+127798539</f>
        <v>558338767</v>
      </c>
      <c r="H243" s="1113">
        <f>40685+20104179</f>
        <v>20144864</v>
      </c>
      <c r="I243" s="1113">
        <f t="shared" si="13"/>
        <v>538193903</v>
      </c>
      <c r="J243" s="36" t="s">
        <v>1419</v>
      </c>
      <c r="K243" s="36"/>
      <c r="L243" s="36"/>
      <c r="M243" s="36"/>
      <c r="N243" s="36"/>
      <c r="O243" s="36"/>
      <c r="P243" s="38"/>
    </row>
    <row r="244" spans="1:20" ht="16.5" thickBot="1">
      <c r="A244" s="155">
        <v>31</v>
      </c>
      <c r="B244" s="181"/>
      <c r="C244" s="157" t="s">
        <v>1158</v>
      </c>
      <c r="D244" s="167"/>
      <c r="E244" s="167"/>
      <c r="F244" s="178" t="s">
        <v>1159</v>
      </c>
      <c r="G244" s="1117">
        <v>140234578</v>
      </c>
      <c r="H244" s="1118"/>
      <c r="I244" s="1118">
        <f t="shared" si="13"/>
        <v>140234578</v>
      </c>
      <c r="J244" s="73"/>
      <c r="K244" s="73"/>
      <c r="L244" s="73"/>
      <c r="M244" s="73"/>
      <c r="N244" s="73"/>
      <c r="O244" s="73"/>
      <c r="P244" s="74"/>
    </row>
    <row r="245" spans="1:20" ht="16.5">
      <c r="G245" s="255"/>
      <c r="H245" s="255"/>
      <c r="I245" s="255"/>
      <c r="J245" s="255"/>
      <c r="K245" s="255"/>
      <c r="L245" s="255"/>
      <c r="M245" s="255"/>
      <c r="N245" s="255"/>
      <c r="O245" s="255"/>
      <c r="P245" s="255"/>
      <c r="Q245" s="255"/>
    </row>
    <row r="246" spans="1:20" ht="15.75" thickBot="1">
      <c r="G246" s="216"/>
      <c r="H246" s="216"/>
      <c r="I246" s="216"/>
      <c r="J246" s="216"/>
      <c r="K246" s="216"/>
      <c r="L246" s="216"/>
      <c r="M246" s="216"/>
      <c r="N246" s="216"/>
      <c r="O246" s="216"/>
      <c r="P246" s="216"/>
      <c r="Q246" s="216"/>
      <c r="R246" s="216"/>
    </row>
    <row r="247" spans="1:20" ht="18.75" thickBot="1">
      <c r="A247" s="1911" t="s">
        <v>1165</v>
      </c>
      <c r="B247" s="1912"/>
      <c r="C247" s="1912"/>
      <c r="D247" s="1912"/>
      <c r="E247" s="1912"/>
      <c r="F247" s="1913"/>
      <c r="G247" s="1962"/>
      <c r="H247" s="1963"/>
      <c r="I247" s="1964"/>
      <c r="J247" s="1963"/>
      <c r="K247" s="1964"/>
      <c r="L247" s="1963"/>
      <c r="M247" s="240"/>
      <c r="N247" s="240"/>
      <c r="O247" s="240"/>
      <c r="P247" s="240"/>
      <c r="Q247" s="240"/>
      <c r="R247" s="240"/>
      <c r="S247" s="240"/>
      <c r="T247" s="241"/>
    </row>
    <row r="248" spans="1:20" ht="39">
      <c r="A248" s="1917" t="s">
        <v>65</v>
      </c>
      <c r="B248" s="1918"/>
      <c r="C248" s="1918"/>
      <c r="D248" s="1918"/>
      <c r="E248" s="1918"/>
      <c r="F248" s="1919"/>
      <c r="G248" s="1138" t="s">
        <v>1166</v>
      </c>
      <c r="H248" s="1138" t="s">
        <v>184</v>
      </c>
      <c r="I248" s="1847" t="s">
        <v>2015</v>
      </c>
      <c r="J248" s="1138" t="s">
        <v>1167</v>
      </c>
      <c r="K248" s="1138" t="s">
        <v>1168</v>
      </c>
      <c r="L248" s="1138" t="s">
        <v>1169</v>
      </c>
      <c r="M248" s="1353" t="s">
        <v>1412</v>
      </c>
      <c r="N248" s="1138" t="s">
        <v>1170</v>
      </c>
      <c r="O248" s="1965"/>
      <c r="P248" s="1965"/>
      <c r="Q248" s="1965"/>
      <c r="R248" s="1965"/>
      <c r="S248" s="1965"/>
      <c r="T248" s="1966"/>
    </row>
    <row r="249" spans="1:20" ht="18">
      <c r="A249" s="1141"/>
      <c r="B249" s="1142"/>
      <c r="C249" s="1142"/>
      <c r="D249" s="1142"/>
      <c r="E249" s="1142"/>
      <c r="F249" s="1143"/>
      <c r="G249" s="1144"/>
      <c r="H249" s="1144"/>
      <c r="I249" s="1144"/>
      <c r="J249" s="1144"/>
      <c r="K249" s="1145"/>
      <c r="L249" s="1145"/>
      <c r="M249" s="1145"/>
      <c r="N249" s="1145"/>
      <c r="O249" s="1145"/>
      <c r="P249" s="1145"/>
      <c r="Q249" s="1145"/>
      <c r="R249" s="1145"/>
      <c r="S249" s="1145"/>
      <c r="T249" s="1146"/>
    </row>
    <row r="250" spans="1:20" ht="33.75" customHeight="1">
      <c r="A250" s="120">
        <v>68</v>
      </c>
      <c r="B250" s="1147"/>
      <c r="C250" s="1148" t="s">
        <v>191</v>
      </c>
      <c r="D250" s="1149"/>
      <c r="E250" s="1150"/>
      <c r="F250" s="1139" t="s">
        <v>1171</v>
      </c>
      <c r="G250" s="61">
        <f>+'11B - A&amp;G'!E24</f>
        <v>175114514.641</v>
      </c>
      <c r="H250" s="1384">
        <v>-40274.989999999991</v>
      </c>
      <c r="I250" s="1384">
        <f>102371+267198+14073+31953</f>
        <v>415595</v>
      </c>
      <c r="J250" s="1384">
        <v>1408257.0100000002</v>
      </c>
      <c r="K250" s="1384">
        <v>5661.5899200000003</v>
      </c>
      <c r="L250" s="1384"/>
      <c r="M250" s="1384"/>
      <c r="N250" s="1384">
        <f>+G250-H250-J250-K250-I250</f>
        <v>173325276.03108001</v>
      </c>
      <c r="O250" s="1967"/>
      <c r="P250" s="1967"/>
      <c r="Q250" s="1967"/>
      <c r="R250" s="1967"/>
      <c r="S250" s="1967"/>
      <c r="T250" s="1968"/>
    </row>
    <row r="251" spans="1:20" ht="16.5" thickBot="1">
      <c r="A251" s="155">
        <v>60</v>
      </c>
      <c r="B251" s="181"/>
      <c r="C251" s="157" t="s">
        <v>190</v>
      </c>
      <c r="D251" s="167"/>
      <c r="E251" s="167"/>
      <c r="F251" s="178" t="s">
        <v>1161</v>
      </c>
      <c r="G251" s="1117">
        <f>+'11A - O&amp;M'!E35</f>
        <v>28132035.270000003</v>
      </c>
      <c r="H251" s="1117"/>
      <c r="I251" s="1117"/>
      <c r="J251" s="1117"/>
      <c r="K251" s="170"/>
      <c r="L251" s="1836">
        <v>-25</v>
      </c>
      <c r="M251" s="1836">
        <v>-29123.029999999988</v>
      </c>
      <c r="N251" s="1118">
        <f>+G251-L251-M251</f>
        <v>28161183.300000004</v>
      </c>
      <c r="O251" s="1969"/>
      <c r="P251" s="1969"/>
      <c r="Q251" s="1969"/>
      <c r="R251" s="1969"/>
      <c r="S251" s="1969"/>
      <c r="T251" s="1970"/>
    </row>
    <row r="252" spans="1:20">
      <c r="G252" s="216"/>
      <c r="H252" s="34"/>
      <c r="I252" s="216"/>
      <c r="J252" s="216"/>
      <c r="K252" s="216"/>
      <c r="L252" s="216"/>
      <c r="M252" s="216"/>
      <c r="N252" s="216"/>
      <c r="O252" s="216"/>
      <c r="P252" s="216"/>
      <c r="Q252" s="216"/>
      <c r="R252" s="216"/>
    </row>
    <row r="253" spans="1:20">
      <c r="G253" s="216"/>
      <c r="H253" s="216"/>
      <c r="I253" s="216"/>
      <c r="J253" s="216"/>
      <c r="K253" s="216"/>
      <c r="L253" s="216"/>
      <c r="M253" s="216"/>
      <c r="N253" s="216"/>
      <c r="O253" s="216"/>
      <c r="P253" s="216"/>
      <c r="Q253" s="216"/>
      <c r="R253" s="216"/>
    </row>
    <row r="254" spans="1:20">
      <c r="G254" s="216"/>
      <c r="H254" s="1383"/>
      <c r="I254" s="216"/>
      <c r="J254" s="216"/>
      <c r="K254" s="216"/>
      <c r="L254" s="216"/>
      <c r="M254" s="216"/>
      <c r="N254" s="216"/>
      <c r="O254" s="216"/>
      <c r="P254" s="216"/>
      <c r="Q254" s="216"/>
      <c r="R254" s="216"/>
    </row>
    <row r="255" spans="1:20" ht="21" thickBot="1">
      <c r="A255" s="282" t="s">
        <v>1523</v>
      </c>
      <c r="B255" s="282"/>
      <c r="C255" s="282"/>
      <c r="D255" s="282"/>
      <c r="E255" s="282"/>
      <c r="F255" s="282"/>
      <c r="G255" s="1109"/>
      <c r="H255" s="1109"/>
      <c r="I255" s="1109"/>
      <c r="J255" s="1123"/>
      <c r="K255" s="1123"/>
      <c r="L255" s="1123"/>
      <c r="M255" s="1123"/>
      <c r="N255" s="1123"/>
      <c r="O255" s="1123"/>
      <c r="P255" s="1123"/>
      <c r="Q255" s="1123"/>
      <c r="R255" s="216"/>
    </row>
    <row r="256" spans="1:20" ht="30.75" customHeight="1">
      <c r="A256" s="1947" t="s">
        <v>1016</v>
      </c>
      <c r="B256" s="1947"/>
      <c r="C256" s="1947"/>
      <c r="D256" s="1947"/>
      <c r="E256" s="1947"/>
      <c r="F256" s="1948"/>
      <c r="G256" s="1124" t="s">
        <v>1524</v>
      </c>
      <c r="H256" s="1120" t="s">
        <v>184</v>
      </c>
      <c r="I256" s="1120" t="s">
        <v>185</v>
      </c>
      <c r="J256" s="1121"/>
      <c r="K256" s="1121"/>
      <c r="L256" s="1121"/>
      <c r="M256" s="1121"/>
      <c r="N256" s="1121"/>
      <c r="O256" s="1121"/>
      <c r="P256" s="1121"/>
      <c r="Q256" s="1122"/>
    </row>
    <row r="257" spans="1:18" ht="18">
      <c r="A257" s="291"/>
      <c r="B257" s="292"/>
      <c r="C257" s="292"/>
      <c r="D257" s="292"/>
      <c r="E257" s="292"/>
      <c r="F257" s="293"/>
      <c r="G257" s="1109"/>
      <c r="H257" s="1109"/>
      <c r="I257" s="1109"/>
      <c r="J257" s="295"/>
      <c r="K257" s="295"/>
      <c r="L257" s="295"/>
      <c r="M257" s="295"/>
      <c r="N257" s="295"/>
      <c r="O257" s="295"/>
      <c r="P257" s="295"/>
      <c r="Q257" s="296"/>
    </row>
    <row r="258" spans="1:18" ht="15.75">
      <c r="A258" s="125">
        <v>86</v>
      </c>
      <c r="B258" s="150"/>
      <c r="C258" s="126" t="s">
        <v>475</v>
      </c>
      <c r="D258" s="1112"/>
      <c r="E258" s="132"/>
      <c r="F258" s="163"/>
      <c r="G258" s="61">
        <v>40156668</v>
      </c>
      <c r="H258" s="61">
        <v>0</v>
      </c>
      <c r="I258" s="1113">
        <f>+G258-H258</f>
        <v>40156668</v>
      </c>
      <c r="J258" s="63"/>
      <c r="K258" s="63" t="s">
        <v>1991</v>
      </c>
      <c r="L258" s="63"/>
      <c r="M258" s="63"/>
      <c r="N258" s="63"/>
      <c r="O258" s="63"/>
      <c r="P258" s="63"/>
      <c r="Q258" s="64"/>
    </row>
    <row r="259" spans="1:18" ht="15.75">
      <c r="A259" s="125">
        <v>87</v>
      </c>
      <c r="B259" s="150"/>
      <c r="C259" s="126" t="s">
        <v>1017</v>
      </c>
      <c r="D259" s="1114"/>
      <c r="E259" s="1114"/>
      <c r="F259" s="163"/>
      <c r="G259" s="61">
        <v>10902672</v>
      </c>
      <c r="H259" s="61">
        <f>+'10 - Merger Costs'!C14</f>
        <v>34310.354900799961</v>
      </c>
      <c r="I259" s="1113">
        <f t="shared" ref="I259:I261" si="14">+G259-H259</f>
        <v>10868361.6450992</v>
      </c>
      <c r="J259" s="63"/>
      <c r="K259" s="63" t="s">
        <v>1992</v>
      </c>
      <c r="L259" s="63"/>
      <c r="M259" s="63"/>
      <c r="N259" s="63"/>
      <c r="O259" s="63"/>
      <c r="P259" s="63"/>
      <c r="Q259" s="64"/>
    </row>
    <row r="260" spans="1:18" ht="15.75">
      <c r="A260" s="125">
        <v>88</v>
      </c>
      <c r="B260" s="150"/>
      <c r="C260" s="126" t="s">
        <v>478</v>
      </c>
      <c r="D260" s="1114"/>
      <c r="E260" s="1114"/>
      <c r="F260" s="163"/>
      <c r="G260" s="61">
        <v>16715195</v>
      </c>
      <c r="H260" s="61">
        <f>+'10 - Merger Costs'!C15</f>
        <v>370777.70999999973</v>
      </c>
      <c r="I260" s="1113">
        <f t="shared" si="14"/>
        <v>16344417.290000001</v>
      </c>
      <c r="J260" s="63"/>
      <c r="K260" s="63" t="s">
        <v>1993</v>
      </c>
      <c r="L260" s="63"/>
      <c r="M260" s="63"/>
      <c r="N260" s="63"/>
      <c r="O260" s="63"/>
      <c r="P260" s="63"/>
      <c r="Q260" s="64"/>
    </row>
    <row r="261" spans="1:18" ht="15.75">
      <c r="A261" s="125">
        <v>92</v>
      </c>
      <c r="B261" s="150"/>
      <c r="C261" s="126" t="s">
        <v>480</v>
      </c>
      <c r="D261" s="1114"/>
      <c r="E261" s="1114"/>
      <c r="F261" s="163"/>
      <c r="G261" s="61">
        <v>0</v>
      </c>
      <c r="H261" s="61">
        <v>0</v>
      </c>
      <c r="I261" s="1113">
        <f t="shared" si="14"/>
        <v>0</v>
      </c>
      <c r="J261" s="63"/>
      <c r="K261" s="63"/>
      <c r="L261" s="63"/>
      <c r="M261" s="63"/>
      <c r="N261" s="63"/>
      <c r="O261" s="63"/>
      <c r="P261" s="63"/>
      <c r="Q261" s="64"/>
    </row>
    <row r="262" spans="1:18" ht="16.5" thickBot="1">
      <c r="A262" s="155">
        <v>93</v>
      </c>
      <c r="B262" s="181"/>
      <c r="C262" s="1115" t="s">
        <v>481</v>
      </c>
      <c r="D262" s="1116"/>
      <c r="E262" s="1116"/>
      <c r="F262" s="178"/>
      <c r="G262" s="1117">
        <v>0</v>
      </c>
      <c r="H262" s="1117">
        <v>0</v>
      </c>
      <c r="I262" s="1118">
        <f t="shared" ref="I262" si="15">G262-H262</f>
        <v>0</v>
      </c>
      <c r="J262" s="170"/>
      <c r="K262" s="170"/>
      <c r="L262" s="170"/>
      <c r="M262" s="170"/>
      <c r="N262" s="170"/>
      <c r="O262" s="170"/>
      <c r="P262" s="170"/>
      <c r="Q262" s="1119"/>
    </row>
    <row r="263" spans="1:18" ht="15.75">
      <c r="A263" s="150"/>
      <c r="B263" s="150"/>
      <c r="C263" s="126"/>
      <c r="D263" s="216"/>
      <c r="E263" s="216"/>
      <c r="F263" s="126"/>
      <c r="G263" s="52"/>
      <c r="H263" s="52"/>
      <c r="I263" s="80"/>
      <c r="J263" s="36"/>
      <c r="K263" s="36"/>
      <c r="L263" s="36"/>
      <c r="M263" s="36"/>
      <c r="N263" s="36"/>
      <c r="O263" s="36"/>
      <c r="P263" s="36"/>
      <c r="Q263" s="36"/>
    </row>
    <row r="264" spans="1:18" ht="16.5" thickBot="1">
      <c r="A264" s="150"/>
      <c r="B264" s="150"/>
      <c r="C264" s="126"/>
      <c r="D264" s="216"/>
      <c r="E264" s="216"/>
      <c r="F264" s="126"/>
      <c r="G264" s="52"/>
      <c r="H264" s="52"/>
      <c r="I264" s="80"/>
      <c r="J264" s="36"/>
      <c r="K264" s="36"/>
      <c r="L264" s="36"/>
      <c r="M264" s="36"/>
      <c r="N264" s="36"/>
      <c r="O264" s="36"/>
      <c r="P264" s="36"/>
      <c r="Q264" s="36"/>
    </row>
    <row r="265" spans="1:18" ht="21" thickBot="1">
      <c r="A265" s="1993" t="s">
        <v>194</v>
      </c>
      <c r="B265" s="1994"/>
      <c r="C265" s="1994"/>
      <c r="D265" s="1994"/>
      <c r="E265" s="1994"/>
      <c r="F265" s="1995"/>
      <c r="G265" s="1996"/>
      <c r="H265" s="1997"/>
      <c r="I265" s="1998"/>
      <c r="J265" s="1997"/>
      <c r="K265" s="1998"/>
      <c r="L265" s="1997"/>
      <c r="M265" s="1127"/>
      <c r="N265" s="1127"/>
      <c r="O265" s="1127"/>
      <c r="P265" s="1127"/>
      <c r="Q265" s="1128"/>
    </row>
    <row r="266" spans="1:18" ht="39">
      <c r="A266" s="1917" t="s">
        <v>65</v>
      </c>
      <c r="B266" s="1918"/>
      <c r="C266" s="1918"/>
      <c r="D266" s="1918"/>
      <c r="E266" s="1918"/>
      <c r="F266" s="1919"/>
      <c r="G266" s="119" t="s">
        <v>195</v>
      </c>
      <c r="H266" s="119" t="s">
        <v>196</v>
      </c>
      <c r="I266" s="119" t="s">
        <v>197</v>
      </c>
      <c r="J266" s="119" t="s">
        <v>198</v>
      </c>
      <c r="K266" s="1920" t="s">
        <v>199</v>
      </c>
      <c r="L266" s="1989"/>
      <c r="M266" s="1989"/>
      <c r="N266" s="1989"/>
      <c r="O266" s="1989"/>
      <c r="P266" s="1989"/>
      <c r="Q266" s="1990"/>
    </row>
    <row r="267" spans="1:18" s="5" customFormat="1" ht="10.5" customHeight="1">
      <c r="A267" s="291"/>
      <c r="B267" s="292"/>
      <c r="C267" s="292"/>
      <c r="D267" s="292"/>
      <c r="E267" s="292"/>
      <c r="F267" s="293"/>
      <c r="G267" s="294"/>
      <c r="H267" s="294"/>
      <c r="I267" s="294"/>
      <c r="J267" s="295"/>
      <c r="K267" s="295"/>
      <c r="L267" s="295"/>
      <c r="M267" s="295"/>
      <c r="N267" s="295"/>
      <c r="O267" s="295"/>
      <c r="P267" s="295"/>
      <c r="Q267" s="296"/>
    </row>
    <row r="268" spans="1:18" ht="120.75" customHeight="1">
      <c r="A268" s="125">
        <v>68</v>
      </c>
      <c r="B268" s="150"/>
      <c r="C268" s="126" t="s">
        <v>191</v>
      </c>
      <c r="D268" s="221"/>
      <c r="E268" s="174"/>
      <c r="F268" s="298" t="s">
        <v>200</v>
      </c>
      <c r="G268" s="52">
        <f>+'11B - A&amp;G'!E24</f>
        <v>175114514.641</v>
      </c>
      <c r="H268" s="52">
        <f>+'11B - A&amp;G'!E16</f>
        <v>18914319.930999998</v>
      </c>
      <c r="I268" s="1113">
        <v>642583.35710248933</v>
      </c>
      <c r="J268" s="80">
        <v>1696401.7789251357</v>
      </c>
      <c r="K268" s="1991" t="s">
        <v>2003</v>
      </c>
      <c r="L268" s="1992"/>
      <c r="M268" s="1992"/>
      <c r="N268" s="1992"/>
      <c r="O268" s="1992"/>
      <c r="P268" s="1992"/>
      <c r="Q268" s="1928"/>
      <c r="R268" s="103"/>
    </row>
    <row r="269" spans="1:18" ht="16.5" thickBot="1">
      <c r="A269" s="155"/>
      <c r="B269" s="181"/>
      <c r="C269" s="157"/>
      <c r="D269" s="167"/>
      <c r="E269" s="167"/>
      <c r="F269" s="178"/>
      <c r="G269" s="71"/>
      <c r="H269" s="71"/>
      <c r="I269" s="297"/>
      <c r="J269" s="73"/>
      <c r="K269" s="73"/>
      <c r="L269" s="73"/>
      <c r="M269" s="73"/>
      <c r="N269" s="73"/>
      <c r="O269" s="73"/>
      <c r="P269" s="73"/>
      <c r="Q269" s="74"/>
    </row>
    <row r="270" spans="1:18" ht="16.5">
      <c r="G270" s="255"/>
      <c r="H270" s="255"/>
      <c r="I270" s="255"/>
      <c r="J270" s="255"/>
      <c r="K270" s="255"/>
      <c r="L270" s="255"/>
      <c r="M270" s="255"/>
      <c r="N270" s="255"/>
      <c r="O270" s="255"/>
      <c r="P270" s="255"/>
      <c r="Q270" s="255"/>
    </row>
    <row r="271" spans="1:18" ht="16.5">
      <c r="G271" s="255"/>
      <c r="H271" s="255"/>
      <c r="I271" s="255"/>
      <c r="J271" s="299"/>
      <c r="K271" s="255"/>
      <c r="L271" s="255"/>
      <c r="M271" s="255"/>
      <c r="N271" s="255"/>
      <c r="O271" s="255"/>
      <c r="P271" s="255"/>
      <c r="Q271" s="255"/>
    </row>
    <row r="272" spans="1:18" ht="17.25" thickBot="1">
      <c r="G272" s="255"/>
      <c r="H272" s="255"/>
      <c r="I272" s="255"/>
      <c r="J272" s="299"/>
      <c r="K272" s="255"/>
      <c r="L272" s="255"/>
      <c r="M272" s="255"/>
      <c r="N272" s="255"/>
      <c r="O272" s="255"/>
      <c r="P272" s="255"/>
      <c r="Q272" s="255"/>
    </row>
    <row r="273" spans="1:17" ht="19.5" thickBot="1">
      <c r="A273" s="1911" t="s">
        <v>201</v>
      </c>
      <c r="B273" s="1912"/>
      <c r="C273" s="1912"/>
      <c r="D273" s="1912"/>
      <c r="E273" s="1912"/>
      <c r="F273" s="1913"/>
      <c r="G273" s="255"/>
      <c r="H273" s="255"/>
      <c r="I273" s="255"/>
      <c r="J273" s="255"/>
      <c r="K273" s="255"/>
      <c r="L273" s="255"/>
      <c r="M273" s="255"/>
      <c r="N273" s="255"/>
      <c r="O273" s="255"/>
      <c r="P273" s="255"/>
      <c r="Q273" s="255"/>
    </row>
    <row r="274" spans="1:17" ht="16.5">
      <c r="G274" s="255"/>
      <c r="H274" s="255"/>
      <c r="I274" s="255"/>
      <c r="J274" s="255"/>
      <c r="K274" s="255"/>
      <c r="L274" s="255"/>
      <c r="M274" s="255"/>
      <c r="N274" s="255"/>
      <c r="O274" s="255"/>
      <c r="P274" s="255"/>
      <c r="Q274" s="255"/>
    </row>
    <row r="275" spans="1:17" ht="16.5">
      <c r="A275" t="s">
        <v>202</v>
      </c>
      <c r="C275" s="300" t="s">
        <v>203</v>
      </c>
      <c r="E275" s="83">
        <f>+E283</f>
        <v>3268753.4703000002</v>
      </c>
      <c r="G275" s="255"/>
      <c r="H275" s="255"/>
      <c r="I275" s="255"/>
      <c r="J275" s="255"/>
      <c r="K275" s="255"/>
      <c r="L275" s="255"/>
      <c r="M275" s="255"/>
      <c r="N275" s="255"/>
      <c r="O275" s="255"/>
      <c r="P275" s="255"/>
      <c r="Q275" s="255"/>
    </row>
    <row r="276" spans="1:17" ht="16.5">
      <c r="G276" s="255"/>
      <c r="H276" s="255"/>
      <c r="I276" s="255"/>
      <c r="J276" s="255"/>
      <c r="K276" s="255"/>
      <c r="L276" s="255"/>
      <c r="M276" s="255"/>
      <c r="N276" s="255"/>
      <c r="O276" s="255"/>
      <c r="P276" s="255"/>
      <c r="Q276" s="255"/>
    </row>
    <row r="277" spans="1:17" ht="16.5">
      <c r="D277" s="301" t="s">
        <v>204</v>
      </c>
      <c r="E277" s="302">
        <f>+'3 - Revenue Credits'!D33</f>
        <v>11861790</v>
      </c>
      <c r="G277" s="255"/>
      <c r="H277" s="255"/>
      <c r="I277" s="255"/>
      <c r="J277" s="255"/>
      <c r="K277" s="255"/>
      <c r="L277" s="255"/>
      <c r="M277" s="255"/>
      <c r="N277" s="255"/>
      <c r="O277" s="255"/>
      <c r="P277" s="255"/>
      <c r="Q277" s="255"/>
    </row>
    <row r="278" spans="1:17" ht="16.5">
      <c r="D278" s="303" t="s">
        <v>205</v>
      </c>
      <c r="E278" s="304">
        <v>0.21</v>
      </c>
      <c r="G278" s="255"/>
      <c r="H278" s="255"/>
      <c r="I278" s="255"/>
      <c r="J278" s="255"/>
      <c r="K278" s="255"/>
      <c r="L278" s="255"/>
      <c r="M278" s="255"/>
      <c r="N278" s="255"/>
      <c r="O278" s="255"/>
      <c r="P278" s="255"/>
      <c r="Q278" s="255"/>
    </row>
    <row r="279" spans="1:17" ht="16.5">
      <c r="D279" s="305" t="s">
        <v>206</v>
      </c>
      <c r="E279" s="306">
        <f>E277*E278</f>
        <v>2490975.9</v>
      </c>
      <c r="G279" s="255"/>
      <c r="H279" s="255"/>
      <c r="I279" s="255"/>
      <c r="J279" s="255"/>
      <c r="K279" s="255"/>
      <c r="L279" s="255"/>
      <c r="M279" s="255"/>
      <c r="N279" s="255"/>
      <c r="O279" s="255"/>
      <c r="P279" s="255"/>
      <c r="Q279" s="255"/>
    </row>
    <row r="280" spans="1:17" ht="16.5">
      <c r="D280" s="305" t="s">
        <v>207</v>
      </c>
      <c r="E280" s="306">
        <f>E277-E279</f>
        <v>9370814.0999999996</v>
      </c>
      <c r="G280" s="255"/>
      <c r="H280" s="255"/>
      <c r="I280" s="255"/>
      <c r="J280" s="255"/>
      <c r="K280" s="255"/>
      <c r="L280" s="255"/>
      <c r="M280" s="255"/>
      <c r="N280" s="255"/>
      <c r="O280" s="255"/>
      <c r="P280" s="255"/>
      <c r="Q280" s="255"/>
    </row>
    <row r="281" spans="1:17" ht="16.5">
      <c r="D281" s="305" t="s">
        <v>208</v>
      </c>
      <c r="E281" s="307">
        <f>+F65</f>
        <v>8.3000000000000004E-2</v>
      </c>
      <c r="G281" s="255"/>
      <c r="H281" s="255"/>
      <c r="I281" s="255"/>
      <c r="J281" s="255"/>
      <c r="K281" s="255"/>
      <c r="L281" s="255"/>
      <c r="M281" s="255"/>
      <c r="N281" s="255"/>
      <c r="O281" s="255"/>
      <c r="P281" s="255"/>
      <c r="Q281" s="255"/>
    </row>
    <row r="282" spans="1:17" ht="16.5">
      <c r="D282" s="305" t="s">
        <v>209</v>
      </c>
      <c r="E282" s="306">
        <f>E280*E281</f>
        <v>777777.57030000002</v>
      </c>
      <c r="G282" s="255"/>
      <c r="H282" s="255"/>
      <c r="I282" s="255"/>
      <c r="J282" s="255"/>
      <c r="K282" s="255"/>
      <c r="L282" s="255"/>
      <c r="M282" s="255"/>
      <c r="N282" s="255"/>
      <c r="O282" s="255"/>
      <c r="P282" s="255"/>
      <c r="Q282" s="255"/>
    </row>
    <row r="283" spans="1:17" ht="17.25" thickBot="1">
      <c r="D283" s="305" t="s">
        <v>210</v>
      </c>
      <c r="E283" s="308">
        <f>E282+E279</f>
        <v>3268753.4703000002</v>
      </c>
      <c r="G283" s="255"/>
      <c r="H283" s="255"/>
      <c r="I283" s="255"/>
      <c r="J283" s="255"/>
      <c r="K283" s="255"/>
      <c r="L283" s="255"/>
      <c r="M283" s="255"/>
      <c r="N283" s="255"/>
      <c r="O283" s="255"/>
      <c r="P283" s="255"/>
      <c r="Q283" s="255"/>
    </row>
    <row r="284" spans="1:17" ht="16.5" thickTop="1">
      <c r="D284" s="309"/>
      <c r="E284" s="310"/>
      <c r="F284" s="310"/>
      <c r="G284" s="310"/>
      <c r="H284" s="310"/>
    </row>
    <row r="285" spans="1:17" s="1468" customFormat="1" ht="16.5" thickBot="1">
      <c r="D285" s="309"/>
      <c r="E285" s="310"/>
      <c r="F285" s="310"/>
      <c r="G285" s="310"/>
      <c r="H285" s="310"/>
    </row>
    <row r="286" spans="1:17" s="1468" customFormat="1" ht="18.75" thickBot="1">
      <c r="A286" s="1911" t="s">
        <v>915</v>
      </c>
      <c r="B286" s="1912"/>
      <c r="C286" s="1912"/>
      <c r="D286" s="1912"/>
      <c r="E286" s="1912"/>
      <c r="F286" s="1913"/>
      <c r="G286" s="310"/>
      <c r="H286" s="310"/>
    </row>
    <row r="287" spans="1:17" s="1468" customFormat="1" ht="15.75">
      <c r="A287" s="1468">
        <v>167</v>
      </c>
      <c r="C287" s="1468" t="s">
        <v>2008</v>
      </c>
      <c r="G287" s="310"/>
      <c r="H287" s="310"/>
    </row>
    <row r="288" spans="1:17" s="1468" customFormat="1" ht="16.5" thickBot="1">
      <c r="D288" s="1469"/>
      <c r="G288" s="310"/>
      <c r="H288" s="310"/>
    </row>
    <row r="289" spans="1:19" s="1468" customFormat="1" ht="18.75" thickBot="1">
      <c r="A289" s="1911" t="s">
        <v>2010</v>
      </c>
      <c r="B289" s="1912"/>
      <c r="C289" s="1912"/>
      <c r="D289" s="1912"/>
      <c r="E289" s="1912"/>
      <c r="F289" s="1913"/>
      <c r="G289" s="310"/>
      <c r="H289" s="310"/>
    </row>
    <row r="290" spans="1:19" s="1468" customFormat="1" ht="15.75">
      <c r="A290" s="1468">
        <v>22</v>
      </c>
      <c r="C290" s="1468" t="s">
        <v>2011</v>
      </c>
      <c r="G290" s="310"/>
      <c r="H290" s="310"/>
    </row>
    <row r="291" spans="1:19" s="1468" customFormat="1" ht="16.5" thickBot="1">
      <c r="G291" s="310"/>
      <c r="H291" s="310"/>
    </row>
    <row r="292" spans="1:19" s="1468" customFormat="1" ht="18.75" thickBot="1">
      <c r="A292" s="1911" t="s">
        <v>2012</v>
      </c>
      <c r="B292" s="1912"/>
      <c r="C292" s="1912"/>
      <c r="D292" s="1912"/>
      <c r="E292" s="1912"/>
      <c r="F292" s="1913"/>
      <c r="G292" s="310"/>
      <c r="H292" s="310"/>
    </row>
    <row r="293" spans="1:19" s="1468" customFormat="1" ht="15.75">
      <c r="A293" s="1468" t="s">
        <v>2013</v>
      </c>
      <c r="C293" s="1468" t="s">
        <v>2014</v>
      </c>
      <c r="G293" s="310"/>
      <c r="H293" s="310"/>
    </row>
    <row r="294" spans="1:19" s="1468" customFormat="1" ht="15.75">
      <c r="G294" s="310"/>
      <c r="H294" s="310"/>
    </row>
    <row r="295" spans="1:19" ht="16.5" thickBot="1">
      <c r="A295" s="1468"/>
      <c r="B295" s="1468"/>
      <c r="C295" s="300"/>
      <c r="D295" s="1468"/>
      <c r="E295" s="83"/>
      <c r="F295" s="1468"/>
      <c r="G295" s="310"/>
      <c r="H295" s="310"/>
    </row>
    <row r="296" spans="1:19" s="1468" customFormat="1" ht="19.5" thickBot="1">
      <c r="A296" s="1501" t="s">
        <v>1541</v>
      </c>
      <c r="B296" s="1503"/>
      <c r="C296" s="1503"/>
      <c r="D296" s="1503"/>
      <c r="E296" s="1503"/>
      <c r="F296" s="1503"/>
      <c r="G296" s="1503"/>
      <c r="H296" s="1503"/>
      <c r="I296" s="1503"/>
      <c r="J296" s="1504"/>
      <c r="K296" s="1504"/>
      <c r="L296" s="1504"/>
      <c r="M296" s="1504"/>
      <c r="N296" s="1504"/>
      <c r="O296" s="1504"/>
      <c r="P296" s="1504"/>
      <c r="Q296" s="1505"/>
      <c r="R296" s="255"/>
      <c r="S296" s="255"/>
    </row>
    <row r="297" spans="1:19" s="1104" customFormat="1">
      <c r="A297" s="1546"/>
      <c r="B297" s="1506"/>
      <c r="C297" s="1507"/>
      <c r="D297" s="1506"/>
      <c r="E297" s="1508"/>
      <c r="F297" s="1508"/>
      <c r="G297" s="1509"/>
      <c r="H297" s="1510" t="s">
        <v>275</v>
      </c>
      <c r="I297" s="1509"/>
      <c r="J297" s="1511"/>
      <c r="K297" s="1509"/>
      <c r="L297" s="1512"/>
      <c r="M297" s="1506"/>
      <c r="N297" s="1506"/>
      <c r="O297" s="1506"/>
      <c r="P297" s="1506"/>
      <c r="Q297" s="1513"/>
    </row>
    <row r="298" spans="1:19" s="1104" customFormat="1">
      <c r="A298" s="1546"/>
      <c r="B298" s="1514"/>
      <c r="C298" s="1506"/>
      <c r="D298" s="1515"/>
      <c r="E298" s="1516"/>
      <c r="F298" s="1516"/>
      <c r="G298" s="1509"/>
      <c r="H298" s="1510" t="s">
        <v>56</v>
      </c>
      <c r="I298" s="1510"/>
      <c r="J298" s="1510" t="s">
        <v>1542</v>
      </c>
      <c r="K298" s="1509"/>
      <c r="L298" s="1517"/>
      <c r="M298" s="1517"/>
      <c r="N298" s="1517"/>
      <c r="O298" s="1517"/>
      <c r="P298" s="1517"/>
      <c r="Q298" s="1518"/>
    </row>
    <row r="299" spans="1:19" s="1104" customFormat="1">
      <c r="A299" s="1547" t="s">
        <v>693</v>
      </c>
      <c r="B299" s="1514"/>
      <c r="C299" s="1519" t="s">
        <v>1543</v>
      </c>
      <c r="D299" s="1515"/>
      <c r="E299" s="1516"/>
      <c r="F299" s="1520" t="s">
        <v>1544</v>
      </c>
      <c r="G299" s="1509"/>
      <c r="H299" s="1521" t="s">
        <v>1545</v>
      </c>
      <c r="I299" s="1510"/>
      <c r="J299" s="1521" t="s">
        <v>1546</v>
      </c>
      <c r="K299" s="1509"/>
      <c r="L299" s="1521" t="s">
        <v>1547</v>
      </c>
      <c r="M299" s="1517"/>
      <c r="N299" s="1517"/>
      <c r="O299" s="1517"/>
      <c r="P299" s="1517"/>
      <c r="Q299" s="1518"/>
    </row>
    <row r="300" spans="1:19" s="1104" customFormat="1">
      <c r="A300" s="1546"/>
      <c r="B300" s="1514"/>
      <c r="C300" s="1522"/>
      <c r="D300" s="1515"/>
      <c r="E300" s="1516"/>
      <c r="F300" s="1516"/>
      <c r="G300" s="1509"/>
      <c r="H300" s="1510"/>
      <c r="I300" s="1510"/>
      <c r="J300" s="1510"/>
      <c r="K300" s="1509"/>
      <c r="L300" s="1523"/>
      <c r="M300" s="1517"/>
      <c r="N300" s="1517"/>
      <c r="O300" s="1517"/>
      <c r="P300" s="1517"/>
      <c r="Q300" s="1518"/>
    </row>
    <row r="301" spans="1:19" s="1104" customFormat="1" ht="14.25">
      <c r="A301" s="1546" t="s">
        <v>1173</v>
      </c>
      <c r="B301" s="1506"/>
      <c r="C301" s="1507" t="s">
        <v>1478</v>
      </c>
      <c r="D301" s="1506"/>
      <c r="E301" s="1508"/>
      <c r="F301" s="1508" t="s">
        <v>1548</v>
      </c>
      <c r="G301" s="1509"/>
      <c r="H301" s="1524">
        <v>727397</v>
      </c>
      <c r="I301" s="1525" t="s">
        <v>1189</v>
      </c>
      <c r="J301" s="1526">
        <f>'ATT H-9A'!H252</f>
        <v>0.27556999999999998</v>
      </c>
      <c r="K301" s="1527" t="s">
        <v>1549</v>
      </c>
      <c r="L301" s="1528">
        <f>H301*J301</f>
        <v>200448.79128999999</v>
      </c>
      <c r="M301" s="1529"/>
      <c r="N301" s="1517"/>
      <c r="O301" s="1529"/>
      <c r="P301" s="1517"/>
      <c r="Q301" s="1530"/>
    </row>
    <row r="302" spans="1:19" s="1104" customFormat="1" ht="14.25">
      <c r="B302" s="1506"/>
      <c r="C302" s="1507" t="s">
        <v>1550</v>
      </c>
      <c r="D302" s="1506"/>
      <c r="E302" s="1508"/>
      <c r="F302" s="1508"/>
      <c r="G302" s="1509"/>
      <c r="H302" s="1509"/>
      <c r="I302" s="1509"/>
      <c r="J302" s="1509"/>
      <c r="K302" s="1509"/>
      <c r="L302" s="1528"/>
      <c r="M302" s="1517"/>
      <c r="N302" s="1517"/>
      <c r="O302" s="1517"/>
      <c r="P302" s="1517"/>
      <c r="Q302" s="1518"/>
    </row>
    <row r="303" spans="1:19" s="1104" customFormat="1" ht="14.25">
      <c r="A303" s="1546" t="s">
        <v>1175</v>
      </c>
      <c r="B303" s="1506"/>
      <c r="C303" s="1531" t="s">
        <v>1501</v>
      </c>
      <c r="D303" s="1506"/>
      <c r="E303" s="1508"/>
      <c r="F303" s="1508" t="s">
        <v>1551</v>
      </c>
      <c r="G303" s="1509"/>
      <c r="H303" s="1509"/>
      <c r="I303" s="1509"/>
      <c r="J303" s="1509"/>
      <c r="K303" s="1509"/>
      <c r="L303" s="1532">
        <f>-'1E - ADIT Amortization'!O108</f>
        <v>-11930299.425162518</v>
      </c>
      <c r="M303" s="1533"/>
      <c r="N303" s="1517"/>
      <c r="O303" s="1533"/>
      <c r="P303" s="1517"/>
      <c r="Q303" s="1534"/>
    </row>
    <row r="304" spans="1:19" s="1104" customFormat="1" ht="14.25">
      <c r="A304" s="1546" t="s">
        <v>1176</v>
      </c>
      <c r="B304" s="1506"/>
      <c r="C304" s="1535" t="s">
        <v>1502</v>
      </c>
      <c r="D304" s="1506"/>
      <c r="E304" s="1508"/>
      <c r="F304" s="1508" t="s">
        <v>1551</v>
      </c>
      <c r="G304" s="1509"/>
      <c r="H304" s="1509"/>
      <c r="I304" s="1509"/>
      <c r="J304" s="1509"/>
      <c r="K304" s="1509"/>
      <c r="L304" s="1532">
        <f>-'1E - ADIT Amortization'!O393</f>
        <v>-504975.05</v>
      </c>
      <c r="M304" s="1533"/>
      <c r="N304" s="1517"/>
      <c r="O304" s="1533"/>
      <c r="P304" s="1517"/>
      <c r="Q304" s="1534"/>
    </row>
    <row r="305" spans="1:17" s="1104" customFormat="1" ht="14.25">
      <c r="A305" s="1546" t="s">
        <v>1482</v>
      </c>
      <c r="B305" s="1506"/>
      <c r="C305" s="1507" t="s">
        <v>1486</v>
      </c>
      <c r="D305" s="1506"/>
      <c r="E305" s="1508"/>
      <c r="F305" s="1508" t="s">
        <v>1552</v>
      </c>
      <c r="G305" s="1509"/>
      <c r="H305" s="1509"/>
      <c r="I305" s="1509"/>
      <c r="J305" s="1509"/>
      <c r="K305" s="1509"/>
      <c r="L305" s="1532">
        <v>343668</v>
      </c>
      <c r="M305" s="1517"/>
      <c r="N305" s="1517"/>
      <c r="O305" s="1517"/>
      <c r="P305" s="1517"/>
      <c r="Q305" s="1518"/>
    </row>
    <row r="306" spans="1:17" s="1104" customFormat="1" ht="15.75" thickBot="1">
      <c r="A306" s="1546" t="s">
        <v>1485</v>
      </c>
      <c r="B306" s="1506"/>
      <c r="C306" s="1536" t="s">
        <v>1553</v>
      </c>
      <c r="D306" s="1506"/>
      <c r="E306" s="1508"/>
      <c r="F306" s="1508" t="s">
        <v>1554</v>
      </c>
      <c r="G306" s="1509"/>
      <c r="H306" s="1509"/>
      <c r="I306" s="1509"/>
      <c r="J306" s="1509"/>
      <c r="K306" s="1509"/>
      <c r="L306" s="1537">
        <f>SUM(L301:L305)</f>
        <v>-11891157.683872519</v>
      </c>
      <c r="M306" s="1517"/>
      <c r="N306" s="1517"/>
      <c r="O306" s="1517"/>
      <c r="P306" s="1517"/>
      <c r="Q306" s="1518"/>
    </row>
    <row r="307" spans="1:17" s="1104" customFormat="1" thickTop="1">
      <c r="A307" s="1546"/>
      <c r="B307" s="1506"/>
      <c r="C307" s="1507"/>
      <c r="D307" s="1506"/>
      <c r="E307" s="1508"/>
      <c r="F307" s="1508"/>
      <c r="G307" s="1509"/>
      <c r="H307" s="1509"/>
      <c r="I307" s="1509"/>
      <c r="J307" s="1509"/>
      <c r="K307" s="1528"/>
      <c r="L307" s="1506"/>
      <c r="M307" s="1517"/>
      <c r="N307" s="1517"/>
      <c r="O307" s="1517"/>
      <c r="P307" s="1517"/>
      <c r="Q307" s="1518"/>
    </row>
    <row r="308" spans="1:17" s="1104" customFormat="1">
      <c r="A308" s="1548" t="s">
        <v>1555</v>
      </c>
      <c r="B308" s="1506"/>
      <c r="C308" s="1519" t="s">
        <v>1556</v>
      </c>
      <c r="D308" s="1522"/>
      <c r="E308" s="1522"/>
      <c r="F308" s="1508"/>
      <c r="G308" s="1509"/>
      <c r="H308" s="1509"/>
      <c r="I308" s="1511"/>
      <c r="J308" s="1509"/>
      <c r="K308" s="1512"/>
      <c r="L308" s="1506"/>
      <c r="M308" s="1517"/>
      <c r="N308" s="1517"/>
      <c r="O308" s="1517"/>
      <c r="P308" s="1517"/>
      <c r="Q308" s="1518"/>
    </row>
    <row r="309" spans="1:17" s="1104" customFormat="1" ht="15" customHeight="1">
      <c r="A309" s="1549" t="s">
        <v>1557</v>
      </c>
      <c r="B309" s="1506"/>
      <c r="C309" s="1979" t="s">
        <v>1558</v>
      </c>
      <c r="D309" s="1979"/>
      <c r="E309" s="1979"/>
      <c r="F309" s="1979"/>
      <c r="G309" s="1509"/>
      <c r="H309" s="1509"/>
      <c r="I309" s="1511"/>
      <c r="J309" s="1509"/>
      <c r="K309" s="1512"/>
      <c r="L309" s="1506"/>
      <c r="M309" s="1506"/>
      <c r="N309" s="1506"/>
      <c r="O309" s="1506"/>
      <c r="P309" s="1506"/>
      <c r="Q309" s="1513"/>
    </row>
    <row r="310" spans="1:17" s="1104" customFormat="1" ht="15" customHeight="1">
      <c r="A310" s="1549"/>
      <c r="B310" s="1506"/>
      <c r="C310" s="1979"/>
      <c r="D310" s="1979"/>
      <c r="E310" s="1979"/>
      <c r="F310" s="1979"/>
      <c r="G310" s="1509"/>
      <c r="H310" s="1509"/>
      <c r="I310" s="1511"/>
      <c r="J310" s="1509"/>
      <c r="K310" s="1512"/>
      <c r="L310" s="1506"/>
      <c r="M310" s="1506"/>
      <c r="N310" s="1506"/>
      <c r="O310" s="1506"/>
      <c r="P310" s="1506"/>
      <c r="Q310" s="1513"/>
    </row>
    <row r="311" spans="1:17" s="1104" customFormat="1" ht="15" customHeight="1">
      <c r="A311" s="1549" t="s">
        <v>1559</v>
      </c>
      <c r="B311" s="1506"/>
      <c r="C311" s="1980" t="s">
        <v>1560</v>
      </c>
      <c r="D311" s="1980"/>
      <c r="E311" s="1980"/>
      <c r="F311" s="1980"/>
      <c r="G311" s="1509"/>
      <c r="H311" s="1509"/>
      <c r="I311" s="1511"/>
      <c r="J311" s="1509"/>
      <c r="K311" s="1512"/>
      <c r="L311" s="1506"/>
      <c r="M311" s="1506"/>
      <c r="N311" s="1506"/>
      <c r="O311" s="1506"/>
      <c r="P311" s="1506"/>
      <c r="Q311" s="1513"/>
    </row>
    <row r="312" spans="1:17" s="1104" customFormat="1" ht="15" customHeight="1">
      <c r="A312" s="1549" t="s">
        <v>1561</v>
      </c>
      <c r="B312" s="1506"/>
      <c r="C312" s="1981" t="s">
        <v>1562</v>
      </c>
      <c r="D312" s="1981"/>
      <c r="E312" s="1981"/>
      <c r="F312" s="1981"/>
      <c r="G312" s="1509"/>
      <c r="H312" s="1509" t="s">
        <v>101</v>
      </c>
      <c r="I312" s="1511"/>
      <c r="J312" s="1509"/>
      <c r="K312" s="1512"/>
      <c r="L312" s="1506"/>
      <c r="M312" s="1506"/>
      <c r="N312" s="1506"/>
      <c r="O312" s="1506"/>
      <c r="P312" s="1506"/>
      <c r="Q312" s="1513"/>
    </row>
    <row r="313" spans="1:17" s="1104" customFormat="1">
      <c r="A313" s="1549"/>
      <c r="B313" s="1506"/>
      <c r="C313" s="1981"/>
      <c r="D313" s="1981"/>
      <c r="E313" s="1981"/>
      <c r="F313" s="1981"/>
      <c r="G313" s="1509"/>
      <c r="H313" s="1509"/>
      <c r="I313" s="1511"/>
      <c r="J313" s="1509"/>
      <c r="K313" s="1512"/>
      <c r="L313" s="1506"/>
      <c r="M313" s="1506"/>
      <c r="N313" s="1506"/>
      <c r="O313" s="1506"/>
      <c r="P313" s="1506"/>
      <c r="Q313" s="1513"/>
    </row>
    <row r="314" spans="1:17" s="1104" customFormat="1" ht="15" customHeight="1">
      <c r="A314" s="1549" t="s">
        <v>1563</v>
      </c>
      <c r="B314" s="1506"/>
      <c r="C314" s="1982" t="s">
        <v>1564</v>
      </c>
      <c r="D314" s="1982"/>
      <c r="E314" s="1982"/>
      <c r="F314" s="1982"/>
      <c r="G314" s="1983"/>
      <c r="H314" s="1983"/>
      <c r="I314" s="1983"/>
      <c r="J314" s="1983"/>
      <c r="K314" s="1512"/>
      <c r="L314" s="1506"/>
      <c r="M314" s="1506"/>
      <c r="N314" s="1506"/>
      <c r="O314" s="1506"/>
      <c r="P314" s="1506"/>
      <c r="Q314" s="1513"/>
    </row>
    <row r="315" spans="1:17" s="1104" customFormat="1">
      <c r="A315" s="1549"/>
      <c r="B315" s="1506"/>
      <c r="C315" s="1982"/>
      <c r="D315" s="1982"/>
      <c r="E315" s="1982"/>
      <c r="F315" s="1982"/>
      <c r="G315" s="1983"/>
      <c r="H315" s="1983"/>
      <c r="I315" s="1983"/>
      <c r="J315" s="1983"/>
      <c r="K315" s="1512"/>
      <c r="L315" s="1506"/>
      <c r="M315" s="1506"/>
      <c r="N315" s="1506"/>
      <c r="O315" s="1506"/>
      <c r="P315" s="1506"/>
      <c r="Q315" s="1513"/>
    </row>
    <row r="316" spans="1:17" s="1104" customFormat="1">
      <c r="A316" s="1549"/>
      <c r="B316" s="1506"/>
      <c r="C316" s="1982"/>
      <c r="D316" s="1982"/>
      <c r="E316" s="1982"/>
      <c r="F316" s="1982"/>
      <c r="G316" s="1983"/>
      <c r="H316" s="1983"/>
      <c r="I316" s="1983"/>
      <c r="J316" s="1983"/>
      <c r="K316" s="1512"/>
      <c r="L316" s="1506"/>
      <c r="M316" s="1506"/>
      <c r="N316" s="1506"/>
      <c r="O316" s="1506"/>
      <c r="P316" s="1506"/>
      <c r="Q316" s="1513"/>
    </row>
    <row r="317" spans="1:17" s="1104" customFormat="1">
      <c r="A317" s="1549"/>
      <c r="B317" s="1506"/>
      <c r="C317" s="1982"/>
      <c r="D317" s="1982"/>
      <c r="E317" s="1982"/>
      <c r="F317" s="1982"/>
      <c r="G317" s="1983"/>
      <c r="H317" s="1983"/>
      <c r="I317" s="1983"/>
      <c r="J317" s="1983"/>
      <c r="K317" s="1512"/>
      <c r="L317" s="1506"/>
      <c r="M317" s="1506"/>
      <c r="N317" s="1506"/>
      <c r="O317" s="1506"/>
      <c r="P317" s="1506"/>
      <c r="Q317" s="1513"/>
    </row>
    <row r="318" spans="1:17" s="1104" customFormat="1">
      <c r="A318" s="1549"/>
      <c r="B318" s="1506"/>
      <c r="C318" s="1982"/>
      <c r="D318" s="1982"/>
      <c r="E318" s="1982"/>
      <c r="F318" s="1982"/>
      <c r="G318" s="1983"/>
      <c r="H318" s="1983"/>
      <c r="I318" s="1983"/>
      <c r="J318" s="1983"/>
      <c r="K318" s="1512"/>
      <c r="L318" s="1506"/>
      <c r="M318" s="1506"/>
      <c r="N318" s="1506"/>
      <c r="O318" s="1506"/>
      <c r="P318" s="1506"/>
      <c r="Q318" s="1513"/>
    </row>
    <row r="319" spans="1:17" s="1104" customFormat="1">
      <c r="A319" s="1549"/>
      <c r="B319" s="1506"/>
      <c r="C319" s="1982"/>
      <c r="D319" s="1982"/>
      <c r="E319" s="1982"/>
      <c r="F319" s="1982"/>
      <c r="G319" s="1983"/>
      <c r="H319" s="1983"/>
      <c r="I319" s="1983"/>
      <c r="J319" s="1983"/>
      <c r="K319" s="1512"/>
      <c r="L319" s="1506"/>
      <c r="M319" s="1506"/>
      <c r="N319" s="1506"/>
      <c r="O319" s="1506"/>
      <c r="P319" s="1506"/>
      <c r="Q319" s="1513"/>
    </row>
    <row r="320" spans="1:17" s="1104" customFormat="1" ht="15" customHeight="1">
      <c r="A320" s="1549" t="s">
        <v>1565</v>
      </c>
      <c r="B320" s="1506"/>
      <c r="C320" s="1983" t="s">
        <v>1566</v>
      </c>
      <c r="D320" s="1983"/>
      <c r="E320" s="1983"/>
      <c r="F320" s="1983"/>
      <c r="G320" s="1509"/>
      <c r="H320" s="1509"/>
      <c r="I320" s="1511"/>
      <c r="J320" s="1509"/>
      <c r="K320" s="1512"/>
      <c r="L320" s="1506"/>
      <c r="M320" s="1506"/>
      <c r="N320" s="1506"/>
      <c r="O320" s="1506"/>
      <c r="P320" s="1506"/>
      <c r="Q320" s="1513"/>
    </row>
    <row r="321" spans="1:17" s="1104" customFormat="1" ht="12" customHeight="1">
      <c r="A321" s="1549"/>
      <c r="B321" s="1506"/>
      <c r="C321" s="1983"/>
      <c r="D321" s="1983"/>
      <c r="E321" s="1983"/>
      <c r="F321" s="1983"/>
      <c r="G321" s="1509"/>
      <c r="H321" s="1509"/>
      <c r="I321" s="1511"/>
      <c r="J321" s="1509"/>
      <c r="K321" s="1512"/>
      <c r="L321" s="1506"/>
      <c r="M321" s="1506"/>
      <c r="N321" s="1506"/>
      <c r="O321" s="1506"/>
      <c r="P321" s="1506"/>
      <c r="Q321" s="1513"/>
    </row>
    <row r="322" spans="1:17" s="1104" customFormat="1" ht="12" customHeight="1">
      <c r="A322" s="1549"/>
      <c r="B322" s="1506"/>
      <c r="C322" s="1983"/>
      <c r="D322" s="1983"/>
      <c r="E322" s="1983"/>
      <c r="F322" s="1983"/>
      <c r="G322" s="1509"/>
      <c r="H322" s="1509"/>
      <c r="I322" s="1511"/>
      <c r="J322" s="1509"/>
      <c r="K322" s="1512"/>
      <c r="L322" s="1506"/>
      <c r="M322" s="1506"/>
      <c r="N322" s="1506"/>
      <c r="O322" s="1506"/>
      <c r="P322" s="1506"/>
      <c r="Q322" s="1513"/>
    </row>
    <row r="323" spans="1:17" s="1104" customFormat="1" ht="12" customHeight="1">
      <c r="A323" s="1549"/>
      <c r="B323" s="1506"/>
      <c r="C323" s="1983"/>
      <c r="D323" s="1983"/>
      <c r="E323" s="1983"/>
      <c r="F323" s="1983"/>
      <c r="G323" s="1509"/>
      <c r="H323" s="1509"/>
      <c r="I323" s="1511"/>
      <c r="J323" s="1509"/>
      <c r="K323" s="1512"/>
      <c r="L323" s="1506"/>
      <c r="M323" s="1506"/>
      <c r="N323" s="1506"/>
      <c r="O323" s="1506"/>
      <c r="P323" s="1506"/>
      <c r="Q323" s="1513"/>
    </row>
    <row r="324" spans="1:17" s="1104" customFormat="1" ht="12" customHeight="1">
      <c r="A324" s="1549"/>
      <c r="B324" s="1506"/>
      <c r="C324" s="1983"/>
      <c r="D324" s="1983"/>
      <c r="E324" s="1983"/>
      <c r="F324" s="1983"/>
      <c r="G324" s="1509"/>
      <c r="H324" s="1509"/>
      <c r="I324" s="1511"/>
      <c r="J324" s="1509"/>
      <c r="K324" s="1512"/>
      <c r="L324" s="1506"/>
      <c r="M324" s="1506"/>
      <c r="N324" s="1506"/>
      <c r="O324" s="1506"/>
      <c r="P324" s="1506"/>
      <c r="Q324" s="1513"/>
    </row>
    <row r="325" spans="1:17" s="1104" customFormat="1">
      <c r="A325" s="1549"/>
      <c r="B325" s="1506"/>
      <c r="C325" s="1983"/>
      <c r="D325" s="1983"/>
      <c r="E325" s="1983"/>
      <c r="F325" s="1983"/>
      <c r="G325" s="1509"/>
      <c r="H325" s="1509"/>
      <c r="I325" s="1511"/>
      <c r="J325" s="1509"/>
      <c r="K325" s="1512"/>
      <c r="L325" s="1506"/>
      <c r="M325" s="1506"/>
      <c r="N325" s="1506"/>
      <c r="O325" s="1506"/>
      <c r="P325" s="1506"/>
      <c r="Q325" s="1513"/>
    </row>
    <row r="326" spans="1:17" s="1104" customFormat="1">
      <c r="A326" s="1549"/>
      <c r="B326" s="1506"/>
      <c r="C326" s="1983"/>
      <c r="D326" s="1983"/>
      <c r="E326" s="1983"/>
      <c r="F326" s="1983"/>
      <c r="G326" s="1509"/>
      <c r="H326" s="1509"/>
      <c r="I326" s="1511"/>
      <c r="J326" s="1509"/>
      <c r="K326" s="1512"/>
      <c r="L326" s="1506"/>
      <c r="M326" s="1506"/>
      <c r="N326" s="1506"/>
      <c r="O326" s="1506"/>
      <c r="P326" s="1506"/>
      <c r="Q326" s="1513"/>
    </row>
    <row r="327" spans="1:17" s="1104" customFormat="1">
      <c r="A327" s="1549"/>
      <c r="B327" s="1506"/>
      <c r="C327" s="1983"/>
      <c r="D327" s="1983"/>
      <c r="E327" s="1983"/>
      <c r="F327" s="1983"/>
      <c r="G327" s="1509"/>
      <c r="H327" s="1509"/>
      <c r="I327" s="1511"/>
      <c r="J327" s="1509"/>
      <c r="K327" s="1512"/>
      <c r="L327" s="1506"/>
      <c r="M327" s="1506"/>
      <c r="N327" s="1506"/>
      <c r="O327" s="1506"/>
      <c r="P327" s="1506"/>
      <c r="Q327" s="1513"/>
    </row>
    <row r="328" spans="1:17" s="1104" customFormat="1">
      <c r="A328" s="1549" t="s">
        <v>1567</v>
      </c>
      <c r="B328" s="1506"/>
      <c r="C328" s="1983" t="s">
        <v>1568</v>
      </c>
      <c r="D328" s="1983"/>
      <c r="E328" s="1983"/>
      <c r="F328" s="1983"/>
      <c r="G328" s="1509"/>
      <c r="H328" s="1509"/>
      <c r="I328" s="1511"/>
      <c r="J328" s="1509"/>
      <c r="K328" s="1512"/>
      <c r="L328" s="1506"/>
      <c r="M328" s="1506"/>
      <c r="N328" s="1506"/>
      <c r="O328" s="1506"/>
      <c r="P328" s="1506"/>
      <c r="Q328" s="1513"/>
    </row>
    <row r="329" spans="1:17" s="1104" customFormat="1">
      <c r="A329" s="1549"/>
      <c r="B329" s="1506"/>
      <c r="C329" s="1983"/>
      <c r="D329" s="1983"/>
      <c r="E329" s="1983"/>
      <c r="F329" s="1983"/>
      <c r="G329" s="1509"/>
      <c r="H329" s="1509"/>
      <c r="I329" s="1511"/>
      <c r="J329" s="1509"/>
      <c r="K329" s="1512"/>
      <c r="L329" s="1506"/>
      <c r="M329" s="1506"/>
      <c r="N329" s="1506"/>
      <c r="O329" s="1506"/>
      <c r="P329" s="1506"/>
      <c r="Q329" s="1513"/>
    </row>
    <row r="330" spans="1:17" s="1104" customFormat="1" ht="15.75" thickBot="1">
      <c r="A330" s="1550"/>
      <c r="B330" s="1538"/>
      <c r="C330" s="1984"/>
      <c r="D330" s="1984"/>
      <c r="E330" s="1984"/>
      <c r="F330" s="1984"/>
      <c r="G330" s="1539"/>
      <c r="H330" s="1539"/>
      <c r="I330" s="1540"/>
      <c r="J330" s="1539"/>
      <c r="K330" s="1541"/>
      <c r="L330" s="1538"/>
      <c r="M330" s="1538"/>
      <c r="N330" s="1538"/>
      <c r="O330" s="1538"/>
      <c r="P330" s="1538"/>
      <c r="Q330" s="1542"/>
    </row>
    <row r="343" spans="3:3" ht="15.75">
      <c r="C343"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5">
    <mergeCell ref="C309:F310"/>
    <mergeCell ref="C311:F311"/>
    <mergeCell ref="C312:F313"/>
    <mergeCell ref="C314:F319"/>
    <mergeCell ref="G314:J319"/>
    <mergeCell ref="C320:F327"/>
    <mergeCell ref="C328:F329"/>
    <mergeCell ref="C330:F330"/>
    <mergeCell ref="A236:F236"/>
    <mergeCell ref="A237:F237"/>
    <mergeCell ref="J241:P241"/>
    <mergeCell ref="A266:F266"/>
    <mergeCell ref="K266:Q266"/>
    <mergeCell ref="K268:Q268"/>
    <mergeCell ref="A273:F273"/>
    <mergeCell ref="A265:F265"/>
    <mergeCell ref="G265:H265"/>
    <mergeCell ref="I265:J265"/>
    <mergeCell ref="K265:L265"/>
    <mergeCell ref="A256:F256"/>
    <mergeCell ref="A247:F247"/>
    <mergeCell ref="G247:H247"/>
    <mergeCell ref="I247:J247"/>
    <mergeCell ref="K247:L247"/>
    <mergeCell ref="A248:F248"/>
    <mergeCell ref="O248:T248"/>
    <mergeCell ref="O250:T250"/>
    <mergeCell ref="O251:T251"/>
    <mergeCell ref="E229:Q234"/>
    <mergeCell ref="G205:H205"/>
    <mergeCell ref="I205:J205"/>
    <mergeCell ref="K205:L205"/>
    <mergeCell ref="A209:F209"/>
    <mergeCell ref="A219:F219"/>
    <mergeCell ref="A228:F228"/>
    <mergeCell ref="G202:H202"/>
    <mergeCell ref="I202:J202"/>
    <mergeCell ref="K202:L202"/>
    <mergeCell ref="G203:H203"/>
    <mergeCell ref="I203:J203"/>
    <mergeCell ref="K203:L203"/>
    <mergeCell ref="A195:F195"/>
    <mergeCell ref="H195:Q195"/>
    <mergeCell ref="H197:Q197"/>
    <mergeCell ref="G201:H201"/>
    <mergeCell ref="I201:J201"/>
    <mergeCell ref="K201:L201"/>
    <mergeCell ref="H180:Q180"/>
    <mergeCell ref="H182:Q182"/>
    <mergeCell ref="H183:Q183"/>
    <mergeCell ref="A187:F187"/>
    <mergeCell ref="H187:Q187"/>
    <mergeCell ref="H189:Q189"/>
    <mergeCell ref="H167:Q167"/>
    <mergeCell ref="H168:Q168"/>
    <mergeCell ref="A172:F172"/>
    <mergeCell ref="A178:F178"/>
    <mergeCell ref="H178:Q178"/>
    <mergeCell ref="H165:Q165"/>
    <mergeCell ref="H166:Q166"/>
    <mergeCell ref="A114:F114"/>
    <mergeCell ref="C116:F116"/>
    <mergeCell ref="C138:T140"/>
    <mergeCell ref="A144:F144"/>
    <mergeCell ref="J56:Q56"/>
    <mergeCell ref="J36:Q36"/>
    <mergeCell ref="J34:Q34"/>
    <mergeCell ref="A158:F158"/>
    <mergeCell ref="H158:Q158"/>
    <mergeCell ref="H160:Q160"/>
    <mergeCell ref="H162:Q162"/>
    <mergeCell ref="H163:Q163"/>
    <mergeCell ref="H164:Q164"/>
    <mergeCell ref="A93:F93"/>
    <mergeCell ref="H82:Q82"/>
    <mergeCell ref="H83:Q83"/>
    <mergeCell ref="H84:Q84"/>
    <mergeCell ref="H85:Q85"/>
    <mergeCell ref="H86:Q86"/>
    <mergeCell ref="H87:Q87"/>
    <mergeCell ref="A31:F31"/>
    <mergeCell ref="J31:Q31"/>
    <mergeCell ref="J32:Q32"/>
    <mergeCell ref="J33:Q33"/>
    <mergeCell ref="H80:Q80"/>
    <mergeCell ref="J58:Q58"/>
    <mergeCell ref="A62:F62"/>
    <mergeCell ref="L62:Q62"/>
    <mergeCell ref="L64:Q64"/>
    <mergeCell ref="L65:Q65"/>
    <mergeCell ref="A69:F69"/>
    <mergeCell ref="J69:Q69"/>
    <mergeCell ref="J38:Q38"/>
    <mergeCell ref="A42:F42"/>
    <mergeCell ref="J42:Q42"/>
    <mergeCell ref="J43:Q43"/>
    <mergeCell ref="J52:Q52"/>
    <mergeCell ref="A56:F56"/>
    <mergeCell ref="H75:Q75"/>
    <mergeCell ref="H77:Q77"/>
    <mergeCell ref="H79:Q79"/>
    <mergeCell ref="A286:F286"/>
    <mergeCell ref="A289:F289"/>
    <mergeCell ref="A292:F292"/>
    <mergeCell ref="V107:AN107"/>
    <mergeCell ref="A5:F5"/>
    <mergeCell ref="J5:Q5"/>
    <mergeCell ref="J6:Q6"/>
    <mergeCell ref="J7:Q7"/>
    <mergeCell ref="J8:Q8"/>
    <mergeCell ref="J9:Q9"/>
    <mergeCell ref="A22:F22"/>
    <mergeCell ref="J22:Q22"/>
    <mergeCell ref="J11:Q11"/>
    <mergeCell ref="J13:Q13"/>
    <mergeCell ref="J15:Q15"/>
    <mergeCell ref="J18:Q18"/>
    <mergeCell ref="J44:Q44"/>
    <mergeCell ref="A48:F48"/>
    <mergeCell ref="J48:Q48"/>
    <mergeCell ref="J23:Q23"/>
    <mergeCell ref="J24:Q24"/>
    <mergeCell ref="J71:Q71"/>
    <mergeCell ref="A75:F75"/>
    <mergeCell ref="J35:Q35"/>
  </mergeCells>
  <phoneticPr fontId="99" type="noConversion"/>
  <pageMargins left="0.25" right="0.25" top="0.75" bottom="0.75" header="0.5" footer="0.5"/>
  <pageSetup scale="16" fitToHeight="3" orientation="portrait" r:id="rId2"/>
  <rowBreaks count="1" manualBreakCount="1">
    <brk id="24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66"/>
  <sheetViews>
    <sheetView showGridLines="0" topLeftCell="A138" zoomScale="68" zoomScaleNormal="68" zoomScaleSheetLayoutView="99" workbookViewId="0">
      <selection activeCell="J164" sqref="J164"/>
    </sheetView>
  </sheetViews>
  <sheetFormatPr defaultRowHeight="12.75"/>
  <cols>
    <col min="1" max="1" width="37" style="769" customWidth="1"/>
    <col min="2" max="2" width="16" style="769" bestFit="1" customWidth="1"/>
    <col min="3" max="3" width="5.85546875" style="769" customWidth="1"/>
    <col min="4" max="4" width="16" style="769" bestFit="1" customWidth="1"/>
    <col min="5" max="5" width="6.5703125" style="769" customWidth="1"/>
    <col min="6" max="6" width="16" style="769" bestFit="1" customWidth="1"/>
    <col min="7" max="7" width="6" style="769" customWidth="1"/>
    <col min="8" max="8" width="8.7109375" style="769" bestFit="1" customWidth="1"/>
    <col min="9" max="9" width="5.85546875" style="769" customWidth="1"/>
    <col min="10" max="10" width="9.7109375" style="769" bestFit="1" customWidth="1"/>
    <col min="11" max="11" width="5.85546875" style="769" customWidth="1"/>
    <col min="12" max="12" width="10.140625" style="769" customWidth="1"/>
    <col min="13" max="13" width="5.85546875" style="769" customWidth="1"/>
    <col min="14" max="14" width="15" style="769" bestFit="1" customWidth="1"/>
    <col min="15" max="15" width="5.42578125" style="769" customWidth="1"/>
    <col min="16" max="16" width="16" style="769" bestFit="1" customWidth="1"/>
    <col min="17" max="16384" width="9.140625" style="769"/>
  </cols>
  <sheetData>
    <row r="1" spans="1:17" ht="18">
      <c r="A1" s="1999" t="s">
        <v>344</v>
      </c>
      <c r="B1" s="2000"/>
      <c r="C1" s="2000"/>
      <c r="D1" s="2000"/>
      <c r="E1" s="2000"/>
      <c r="F1" s="2000"/>
      <c r="G1" s="2000"/>
      <c r="H1" s="2000"/>
      <c r="I1" s="1288"/>
      <c r="J1" s="1288"/>
      <c r="K1" s="1288"/>
      <c r="L1" s="1288"/>
      <c r="M1" s="1288"/>
    </row>
    <row r="2" spans="1:17">
      <c r="N2" s="770"/>
      <c r="O2" s="771"/>
      <c r="P2" s="772"/>
    </row>
    <row r="3" spans="1:17">
      <c r="A3" s="773" t="s">
        <v>600</v>
      </c>
      <c r="N3" s="770"/>
      <c r="O3" s="771"/>
      <c r="P3" s="772"/>
    </row>
    <row r="4" spans="1:17">
      <c r="A4" s="771"/>
      <c r="B4" s="771"/>
      <c r="C4" s="771"/>
      <c r="D4" s="771"/>
      <c r="E4" s="771"/>
      <c r="F4" s="771"/>
      <c r="G4" s="771"/>
      <c r="H4" s="771"/>
      <c r="I4" s="771"/>
      <c r="J4" s="771"/>
      <c r="K4" s="771"/>
      <c r="L4" s="771"/>
      <c r="M4" s="771"/>
      <c r="N4" s="771"/>
      <c r="O4" s="771"/>
      <c r="P4" s="772"/>
    </row>
    <row r="6" spans="1:17">
      <c r="A6" s="772"/>
      <c r="B6" s="774" t="s">
        <v>601</v>
      </c>
      <c r="C6" s="774"/>
      <c r="D6" s="775" t="s">
        <v>602</v>
      </c>
      <c r="E6" s="775"/>
      <c r="F6" s="775"/>
      <c r="G6" s="775"/>
      <c r="H6" s="775"/>
      <c r="I6" s="775"/>
      <c r="J6" s="775"/>
      <c r="K6" s="775"/>
      <c r="L6" s="775"/>
      <c r="M6" s="775"/>
      <c r="N6" s="775"/>
      <c r="O6" s="775"/>
      <c r="P6" s="774"/>
    </row>
    <row r="7" spans="1:17">
      <c r="A7" s="772"/>
      <c r="B7" s="774" t="s">
        <v>603</v>
      </c>
      <c r="C7" s="774"/>
      <c r="D7" s="775" t="s">
        <v>604</v>
      </c>
      <c r="E7" s="775"/>
      <c r="F7" s="775" t="s">
        <v>176</v>
      </c>
      <c r="G7" s="775"/>
      <c r="H7" s="774" t="s">
        <v>1213</v>
      </c>
      <c r="I7" s="1337"/>
      <c r="J7" s="774" t="s">
        <v>1214</v>
      </c>
      <c r="K7" s="1337"/>
      <c r="L7" s="774" t="s">
        <v>1215</v>
      </c>
      <c r="M7" s="774"/>
      <c r="N7" s="775" t="s">
        <v>605</v>
      </c>
      <c r="O7" s="775"/>
      <c r="P7" s="776" t="s">
        <v>59</v>
      </c>
    </row>
    <row r="8" spans="1:17">
      <c r="A8" s="772"/>
      <c r="B8" s="777"/>
      <c r="C8" s="777"/>
      <c r="D8" s="778"/>
      <c r="E8" s="778"/>
      <c r="F8" s="778"/>
      <c r="G8" s="778"/>
      <c r="H8" s="778"/>
      <c r="I8" s="778"/>
      <c r="J8" s="778"/>
      <c r="K8" s="778"/>
      <c r="L8" s="778"/>
      <c r="M8" s="778"/>
      <c r="N8" s="778"/>
      <c r="O8" s="778"/>
      <c r="P8" s="779"/>
    </row>
    <row r="9" spans="1:17" ht="15">
      <c r="A9" s="780" t="s">
        <v>606</v>
      </c>
      <c r="B9" s="781">
        <v>2038205.6899999992</v>
      </c>
      <c r="C9" s="782"/>
      <c r="D9" s="781">
        <v>1938277.47</v>
      </c>
      <c r="E9" s="783"/>
      <c r="F9" s="781">
        <v>3587812.23</v>
      </c>
      <c r="G9" s="781"/>
      <c r="H9" s="783">
        <v>0</v>
      </c>
      <c r="I9" s="783"/>
      <c r="J9" s="783">
        <v>0</v>
      </c>
      <c r="K9" s="783"/>
      <c r="L9" s="783">
        <v>0</v>
      </c>
      <c r="M9" s="783"/>
      <c r="N9" s="784">
        <v>4487.6700000000019</v>
      </c>
      <c r="O9" s="785"/>
      <c r="P9" s="785">
        <f>SUM(B9:N9)</f>
        <v>7568783.0599999987</v>
      </c>
      <c r="Q9" s="786"/>
    </row>
    <row r="10" spans="1:17" ht="14.25">
      <c r="A10" s="780"/>
      <c r="B10" s="785"/>
      <c r="C10" s="785"/>
      <c r="D10" s="787"/>
      <c r="E10" s="787"/>
      <c r="F10" s="787"/>
      <c r="G10" s="787"/>
      <c r="H10" s="787"/>
      <c r="I10" s="787"/>
      <c r="J10" s="787"/>
      <c r="K10" s="787"/>
      <c r="L10" s="787"/>
      <c r="M10" s="787"/>
      <c r="N10" s="788"/>
      <c r="O10" s="787"/>
      <c r="P10" s="785">
        <f t="shared" ref="P10:P31" si="0">SUM(B10:N10)</f>
        <v>0</v>
      </c>
      <c r="Q10" s="786"/>
    </row>
    <row r="11" spans="1:17" ht="14.25">
      <c r="A11" s="780" t="s">
        <v>1420</v>
      </c>
      <c r="B11" s="789">
        <v>9111711.5599999987</v>
      </c>
      <c r="C11" s="785"/>
      <c r="D11" s="789">
        <v>7429687.0899999999</v>
      </c>
      <c r="E11" s="787"/>
      <c r="F11" s="789">
        <v>17048294.220000003</v>
      </c>
      <c r="G11" s="789"/>
      <c r="H11" s="787">
        <v>0</v>
      </c>
      <c r="I11" s="787"/>
      <c r="J11" s="787">
        <v>0</v>
      </c>
      <c r="K11" s="787"/>
      <c r="L11" s="787">
        <v>0</v>
      </c>
      <c r="M11" s="787"/>
      <c r="N11" s="788">
        <v>8536253.4800000023</v>
      </c>
      <c r="O11" s="787"/>
      <c r="P11" s="785">
        <f t="shared" si="0"/>
        <v>42125946.350000009</v>
      </c>
      <c r="Q11" s="786"/>
    </row>
    <row r="12" spans="1:17" ht="14.25">
      <c r="A12" s="780"/>
      <c r="B12" s="787"/>
      <c r="C12" s="785"/>
      <c r="D12" s="787"/>
      <c r="E12" s="787"/>
      <c r="F12" s="787"/>
      <c r="G12" s="787"/>
      <c r="H12" s="787"/>
      <c r="I12" s="787"/>
      <c r="J12" s="787"/>
      <c r="K12" s="787"/>
      <c r="L12" s="787"/>
      <c r="M12" s="787"/>
      <c r="N12" s="788"/>
      <c r="O12" s="787"/>
      <c r="P12" s="785">
        <f t="shared" si="0"/>
        <v>0</v>
      </c>
      <c r="Q12" s="786"/>
    </row>
    <row r="13" spans="1:17" ht="14.25">
      <c r="A13" s="780" t="s">
        <v>1421</v>
      </c>
      <c r="B13" s="789">
        <v>6669096.790000001</v>
      </c>
      <c r="C13" s="785"/>
      <c r="D13" s="789">
        <v>5986599.0600000005</v>
      </c>
      <c r="E13" s="787"/>
      <c r="F13" s="789">
        <v>10832714.049999999</v>
      </c>
      <c r="G13" s="789"/>
      <c r="H13" s="787">
        <v>0</v>
      </c>
      <c r="I13" s="787"/>
      <c r="J13" s="787">
        <v>0</v>
      </c>
      <c r="K13" s="787"/>
      <c r="L13" s="787">
        <v>0</v>
      </c>
      <c r="M13" s="787"/>
      <c r="N13" s="788">
        <v>6024.48</v>
      </c>
      <c r="O13" s="787"/>
      <c r="P13" s="785">
        <f t="shared" si="0"/>
        <v>23494434.379999999</v>
      </c>
      <c r="Q13" s="786"/>
    </row>
    <row r="14" spans="1:17" ht="14.25">
      <c r="A14" s="780"/>
      <c r="B14" s="787"/>
      <c r="C14" s="785"/>
      <c r="D14" s="787"/>
      <c r="E14" s="787"/>
      <c r="F14" s="787"/>
      <c r="G14" s="787"/>
      <c r="H14" s="787"/>
      <c r="I14" s="787"/>
      <c r="J14" s="787"/>
      <c r="K14" s="787"/>
      <c r="L14" s="787"/>
      <c r="M14" s="787"/>
      <c r="N14" s="788"/>
      <c r="O14" s="787"/>
      <c r="P14" s="785">
        <f t="shared" si="0"/>
        <v>0</v>
      </c>
      <c r="Q14" s="786"/>
    </row>
    <row r="15" spans="1:17" ht="14.25">
      <c r="A15" s="780" t="s">
        <v>607</v>
      </c>
      <c r="B15" s="789">
        <v>2479793.5200000005</v>
      </c>
      <c r="C15" s="785"/>
      <c r="D15" s="789">
        <v>1735006.9100000004</v>
      </c>
      <c r="E15" s="787"/>
      <c r="F15" s="789">
        <v>3771913.75</v>
      </c>
      <c r="G15" s="789"/>
      <c r="H15" s="787">
        <v>0</v>
      </c>
      <c r="I15" s="787"/>
      <c r="J15" s="787">
        <v>0</v>
      </c>
      <c r="K15" s="787"/>
      <c r="L15" s="787">
        <v>0</v>
      </c>
      <c r="M15" s="787"/>
      <c r="N15" s="788">
        <v>0</v>
      </c>
      <c r="O15" s="787"/>
      <c r="P15" s="785">
        <f t="shared" si="0"/>
        <v>7986714.1800000006</v>
      </c>
      <c r="Q15" s="786"/>
    </row>
    <row r="16" spans="1:17" ht="14.25">
      <c r="A16" s="780"/>
      <c r="B16" s="787"/>
      <c r="C16" s="785"/>
      <c r="D16" s="787"/>
      <c r="E16" s="787"/>
      <c r="F16" s="787"/>
      <c r="G16" s="787"/>
      <c r="H16" s="787"/>
      <c r="I16" s="787"/>
      <c r="J16" s="787"/>
      <c r="K16" s="787"/>
      <c r="L16" s="787"/>
      <c r="M16" s="787"/>
      <c r="N16" s="788"/>
      <c r="O16" s="787"/>
      <c r="P16" s="785">
        <f t="shared" si="0"/>
        <v>0</v>
      </c>
      <c r="Q16" s="786"/>
    </row>
    <row r="17" spans="1:17" ht="14.25">
      <c r="A17" s="780" t="s">
        <v>608</v>
      </c>
      <c r="B17" s="789">
        <v>1312478.7400000002</v>
      </c>
      <c r="C17" s="785"/>
      <c r="D17" s="789">
        <v>1036746.6600000001</v>
      </c>
      <c r="E17" s="787"/>
      <c r="F17" s="789">
        <v>2040837.42</v>
      </c>
      <c r="G17" s="789"/>
      <c r="H17" s="787">
        <v>0</v>
      </c>
      <c r="I17" s="787"/>
      <c r="J17" s="787">
        <v>0</v>
      </c>
      <c r="K17" s="787"/>
      <c r="L17" s="787">
        <v>0</v>
      </c>
      <c r="M17" s="787"/>
      <c r="N17" s="788">
        <v>54520.62</v>
      </c>
      <c r="O17" s="787"/>
      <c r="P17" s="785">
        <f t="shared" si="0"/>
        <v>4444583.4400000004</v>
      </c>
      <c r="Q17" s="786"/>
    </row>
    <row r="18" spans="1:17" ht="14.25">
      <c r="A18" s="780"/>
      <c r="B18" s="787"/>
      <c r="C18" s="785"/>
      <c r="D18" s="787"/>
      <c r="E18" s="787"/>
      <c r="F18" s="787"/>
      <c r="G18" s="787"/>
      <c r="H18" s="787"/>
      <c r="I18" s="787"/>
      <c r="J18" s="787"/>
      <c r="K18" s="787"/>
      <c r="L18" s="787"/>
      <c r="M18" s="787"/>
      <c r="N18" s="788"/>
      <c r="O18" s="787"/>
      <c r="P18" s="785">
        <f t="shared" si="0"/>
        <v>0</v>
      </c>
      <c r="Q18" s="786"/>
    </row>
    <row r="19" spans="1:17" ht="14.25">
      <c r="A19" s="780" t="s">
        <v>609</v>
      </c>
      <c r="B19" s="789">
        <v>36193093.269999988</v>
      </c>
      <c r="C19" s="785"/>
      <c r="D19" s="789">
        <v>33375437.770000011</v>
      </c>
      <c r="E19" s="787"/>
      <c r="F19" s="789">
        <v>26420423.970000003</v>
      </c>
      <c r="G19" s="789"/>
      <c r="H19" s="787">
        <v>0</v>
      </c>
      <c r="I19" s="787"/>
      <c r="J19" s="787">
        <v>0</v>
      </c>
      <c r="K19" s="787"/>
      <c r="L19" s="787">
        <v>0</v>
      </c>
      <c r="M19" s="787"/>
      <c r="N19" s="788">
        <v>0</v>
      </c>
      <c r="O19" s="787"/>
      <c r="P19" s="785">
        <f t="shared" si="0"/>
        <v>95988955.00999999</v>
      </c>
      <c r="Q19" s="786"/>
    </row>
    <row r="20" spans="1:17" ht="14.25">
      <c r="A20" s="780"/>
      <c r="B20" s="787"/>
      <c r="C20" s="785"/>
      <c r="D20" s="787"/>
      <c r="E20" s="787"/>
      <c r="F20" s="787"/>
      <c r="G20" s="787"/>
      <c r="H20" s="787"/>
      <c r="I20" s="787"/>
      <c r="J20" s="787"/>
      <c r="K20" s="787"/>
      <c r="L20" s="787"/>
      <c r="M20" s="787"/>
      <c r="N20" s="788"/>
      <c r="O20" s="787"/>
      <c r="P20" s="785">
        <f t="shared" si="0"/>
        <v>0</v>
      </c>
      <c r="Q20" s="786"/>
    </row>
    <row r="21" spans="1:17" ht="15">
      <c r="A21" s="780" t="s">
        <v>610</v>
      </c>
      <c r="B21" s="781">
        <v>12442508.27</v>
      </c>
      <c r="C21" s="783"/>
      <c r="D21" s="781">
        <v>11917474.090000002</v>
      </c>
      <c r="E21" s="790"/>
      <c r="F21" s="781">
        <v>19572162.379999995</v>
      </c>
      <c r="G21" s="781"/>
      <c r="H21" s="790">
        <v>0</v>
      </c>
      <c r="I21" s="790"/>
      <c r="J21" s="790">
        <v>0</v>
      </c>
      <c r="K21" s="790"/>
      <c r="L21" s="790">
        <v>0</v>
      </c>
      <c r="M21" s="790"/>
      <c r="N21" s="784">
        <v>4075.059999999999</v>
      </c>
      <c r="O21" s="787"/>
      <c r="P21" s="785">
        <f t="shared" si="0"/>
        <v>43936219.799999997</v>
      </c>
      <c r="Q21" s="786"/>
    </row>
    <row r="22" spans="1:17" ht="14.25">
      <c r="A22" s="780"/>
      <c r="B22" s="787"/>
      <c r="C22" s="785"/>
      <c r="D22" s="787"/>
      <c r="E22" s="787"/>
      <c r="F22" s="787"/>
      <c r="G22" s="787"/>
      <c r="H22" s="787"/>
      <c r="I22" s="787"/>
      <c r="J22" s="787"/>
      <c r="K22" s="787"/>
      <c r="L22" s="787"/>
      <c r="M22" s="787"/>
      <c r="N22" s="788"/>
      <c r="O22" s="787"/>
      <c r="P22" s="785">
        <f>SUM(B22:N22)</f>
        <v>0</v>
      </c>
      <c r="Q22" s="786"/>
    </row>
    <row r="23" spans="1:17" ht="15">
      <c r="A23" s="780" t="s">
        <v>1987</v>
      </c>
      <c r="B23" s="781">
        <v>3386930.8599999989</v>
      </c>
      <c r="C23" s="783"/>
      <c r="D23" s="781">
        <v>4107303.1999999993</v>
      </c>
      <c r="E23" s="790"/>
      <c r="F23" s="781">
        <v>5416256.0800000001</v>
      </c>
      <c r="G23" s="781"/>
      <c r="H23" s="790">
        <v>0</v>
      </c>
      <c r="I23" s="790"/>
      <c r="J23" s="790">
        <v>0</v>
      </c>
      <c r="K23" s="790"/>
      <c r="L23" s="790">
        <v>0</v>
      </c>
      <c r="M23" s="790"/>
      <c r="N23" s="784">
        <v>54858.7</v>
      </c>
      <c r="O23" s="787"/>
      <c r="P23" s="785">
        <f t="shared" si="0"/>
        <v>12965348.839999998</v>
      </c>
      <c r="Q23" s="786"/>
    </row>
    <row r="24" spans="1:17" ht="15">
      <c r="A24" s="780"/>
      <c r="B24" s="790"/>
      <c r="C24" s="783"/>
      <c r="D24" s="790"/>
      <c r="E24" s="790"/>
      <c r="F24" s="790"/>
      <c r="G24" s="790"/>
      <c r="H24" s="790"/>
      <c r="I24" s="790"/>
      <c r="J24" s="790"/>
      <c r="K24" s="790"/>
      <c r="L24" s="790"/>
      <c r="M24" s="790"/>
      <c r="N24" s="784"/>
      <c r="O24" s="787"/>
      <c r="P24" s="785">
        <f t="shared" si="0"/>
        <v>0</v>
      </c>
      <c r="Q24" s="786"/>
    </row>
    <row r="25" spans="1:17" ht="15">
      <c r="A25" s="780" t="s">
        <v>1422</v>
      </c>
      <c r="B25" s="781">
        <v>1677039.5099999998</v>
      </c>
      <c r="C25" s="783"/>
      <c r="D25" s="781">
        <v>1561418.0499999998</v>
      </c>
      <c r="E25" s="790"/>
      <c r="F25" s="781">
        <v>2867996.59</v>
      </c>
      <c r="G25" s="781"/>
      <c r="H25" s="790">
        <v>0</v>
      </c>
      <c r="I25" s="790"/>
      <c r="J25" s="790">
        <v>0</v>
      </c>
      <c r="K25" s="790"/>
      <c r="L25" s="790">
        <v>0</v>
      </c>
      <c r="M25" s="790"/>
      <c r="N25" s="784">
        <v>2997.6299999999992</v>
      </c>
      <c r="O25" s="787"/>
      <c r="P25" s="785">
        <f t="shared" si="0"/>
        <v>6109451.7799999993</v>
      </c>
      <c r="Q25" s="786"/>
    </row>
    <row r="26" spans="1:17" ht="15">
      <c r="A26" s="780"/>
      <c r="B26" s="790"/>
      <c r="C26" s="783"/>
      <c r="D26" s="790"/>
      <c r="E26" s="790"/>
      <c r="F26" s="790"/>
      <c r="G26" s="790"/>
      <c r="H26" s="790"/>
      <c r="I26" s="790"/>
      <c r="J26" s="790"/>
      <c r="K26" s="790"/>
      <c r="L26" s="790"/>
      <c r="M26" s="790"/>
      <c r="N26" s="784"/>
      <c r="O26" s="787"/>
      <c r="P26" s="785">
        <f t="shared" si="0"/>
        <v>0</v>
      </c>
      <c r="Q26" s="786"/>
    </row>
    <row r="27" spans="1:17" ht="15">
      <c r="A27" s="780" t="s">
        <v>1423</v>
      </c>
      <c r="B27" s="781">
        <v>7510383.3900000006</v>
      </c>
      <c r="C27" s="783"/>
      <c r="D27" s="781">
        <v>6654154.0800000001</v>
      </c>
      <c r="E27" s="790"/>
      <c r="F27" s="781">
        <v>10057483.6</v>
      </c>
      <c r="G27" s="781"/>
      <c r="H27" s="790">
        <v>0</v>
      </c>
      <c r="I27" s="790"/>
      <c r="J27" s="790">
        <v>0</v>
      </c>
      <c r="K27" s="790"/>
      <c r="L27" s="790">
        <v>0</v>
      </c>
      <c r="M27" s="790"/>
      <c r="N27" s="784">
        <v>2003.4499999999998</v>
      </c>
      <c r="O27" s="787"/>
      <c r="P27" s="785">
        <f t="shared" si="0"/>
        <v>24224024.52</v>
      </c>
      <c r="Q27" s="786"/>
    </row>
    <row r="28" spans="1:17" ht="15">
      <c r="A28" s="780"/>
      <c r="B28" s="790"/>
      <c r="C28" s="783"/>
      <c r="D28" s="790"/>
      <c r="E28" s="790"/>
      <c r="F28" s="790"/>
      <c r="G28" s="790"/>
      <c r="H28" s="790"/>
      <c r="I28" s="790"/>
      <c r="J28" s="790"/>
      <c r="K28" s="790"/>
      <c r="L28" s="790"/>
      <c r="M28" s="790"/>
      <c r="N28" s="784"/>
      <c r="O28" s="787"/>
      <c r="P28" s="785">
        <f t="shared" si="0"/>
        <v>0</v>
      </c>
      <c r="Q28" s="786"/>
    </row>
    <row r="29" spans="1:17" ht="15">
      <c r="A29" s="780" t="s">
        <v>1424</v>
      </c>
      <c r="B29" s="781">
        <v>31051003.279999997</v>
      </c>
      <c r="C29" s="783"/>
      <c r="D29" s="781">
        <v>26469193.57</v>
      </c>
      <c r="E29" s="790"/>
      <c r="F29" s="781">
        <v>42719818.580000028</v>
      </c>
      <c r="G29" s="781"/>
      <c r="H29" s="781">
        <v>25079.78</v>
      </c>
      <c r="I29" s="781"/>
      <c r="J29" s="781">
        <v>123596.63999999998</v>
      </c>
      <c r="K29" s="781"/>
      <c r="L29" s="781">
        <v>42921.280000000006</v>
      </c>
      <c r="M29" s="790"/>
      <c r="N29" s="784">
        <v>7302.38</v>
      </c>
      <c r="O29" s="787"/>
      <c r="P29" s="785">
        <f t="shared" si="0"/>
        <v>100438915.51000002</v>
      </c>
      <c r="Q29" s="786"/>
    </row>
    <row r="30" spans="1:17" ht="15">
      <c r="A30" s="780"/>
      <c r="B30" s="790"/>
      <c r="C30" s="783"/>
      <c r="D30" s="790"/>
      <c r="E30" s="790"/>
      <c r="F30" s="790"/>
      <c r="G30" s="790"/>
      <c r="H30" s="790"/>
      <c r="I30" s="790"/>
      <c r="J30" s="790"/>
      <c r="K30" s="790"/>
      <c r="L30" s="790"/>
      <c r="M30" s="790"/>
      <c r="N30" s="784"/>
      <c r="O30" s="787"/>
      <c r="P30" s="785">
        <f t="shared" si="0"/>
        <v>0</v>
      </c>
      <c r="Q30" s="786"/>
    </row>
    <row r="31" spans="1:17" ht="15">
      <c r="A31" s="780" t="s">
        <v>1425</v>
      </c>
      <c r="B31" s="781">
        <v>705472.90999999992</v>
      </c>
      <c r="C31" s="783"/>
      <c r="D31" s="781">
        <v>682680.09000000008</v>
      </c>
      <c r="E31" s="790"/>
      <c r="F31" s="781">
        <v>1493661.3</v>
      </c>
      <c r="G31" s="781"/>
      <c r="H31" s="790">
        <v>0</v>
      </c>
      <c r="I31" s="790"/>
      <c r="J31" s="790">
        <v>0</v>
      </c>
      <c r="K31" s="790"/>
      <c r="L31" s="790">
        <v>0</v>
      </c>
      <c r="M31" s="790"/>
      <c r="N31" s="784">
        <v>179.19</v>
      </c>
      <c r="O31" s="787"/>
      <c r="P31" s="785">
        <f t="shared" si="0"/>
        <v>2881993.4899999998</v>
      </c>
      <c r="Q31" s="786"/>
    </row>
    <row r="32" spans="1:17">
      <c r="A32" s="792"/>
      <c r="B32" s="793"/>
      <c r="C32" s="793"/>
      <c r="D32" s="793"/>
      <c r="E32" s="793"/>
      <c r="F32" s="793"/>
      <c r="G32" s="793"/>
      <c r="H32" s="793"/>
      <c r="I32" s="793"/>
      <c r="J32" s="793"/>
      <c r="K32" s="793"/>
      <c r="L32" s="793"/>
      <c r="M32" s="793"/>
      <c r="N32" s="794"/>
      <c r="O32" s="794"/>
      <c r="P32" s="793"/>
      <c r="Q32" s="795"/>
    </row>
    <row r="33" spans="1:17" ht="13.5" thickBot="1">
      <c r="A33" s="792" t="s">
        <v>59</v>
      </c>
      <c r="B33" s="796">
        <f>SUM(B9:B31)</f>
        <v>114577717.78999999</v>
      </c>
      <c r="C33" s="796">
        <f t="shared" ref="C33:P33" si="1">SUM(C9:C31)</f>
        <v>0</v>
      </c>
      <c r="D33" s="796">
        <f t="shared" si="1"/>
        <v>102893978.04000002</v>
      </c>
      <c r="E33" s="796">
        <f t="shared" si="1"/>
        <v>0</v>
      </c>
      <c r="F33" s="796">
        <f t="shared" si="1"/>
        <v>145829374.17000002</v>
      </c>
      <c r="G33" s="796">
        <f t="shared" si="1"/>
        <v>0</v>
      </c>
      <c r="H33" s="796">
        <f t="shared" si="1"/>
        <v>25079.78</v>
      </c>
      <c r="I33" s="796">
        <f t="shared" si="1"/>
        <v>0</v>
      </c>
      <c r="J33" s="796">
        <f t="shared" si="1"/>
        <v>123596.63999999998</v>
      </c>
      <c r="K33" s="796">
        <f t="shared" si="1"/>
        <v>0</v>
      </c>
      <c r="L33" s="796">
        <f t="shared" si="1"/>
        <v>42921.280000000006</v>
      </c>
      <c r="M33" s="796">
        <f t="shared" si="1"/>
        <v>0</v>
      </c>
      <c r="N33" s="796">
        <f t="shared" si="1"/>
        <v>8672702.660000002</v>
      </c>
      <c r="O33" s="796">
        <f t="shared" si="1"/>
        <v>0</v>
      </c>
      <c r="P33" s="796">
        <f t="shared" si="1"/>
        <v>372165370.36000001</v>
      </c>
      <c r="Q33" s="795"/>
    </row>
    <row r="34" spans="1:17" ht="13.5" thickTop="1">
      <c r="B34" s="793"/>
      <c r="C34" s="793"/>
      <c r="D34" s="793"/>
      <c r="E34" s="793"/>
      <c r="F34" s="793"/>
      <c r="G34" s="793"/>
      <c r="H34" s="793"/>
      <c r="I34" s="793"/>
      <c r="J34" s="793"/>
      <c r="K34" s="793"/>
      <c r="L34" s="793"/>
      <c r="M34" s="793"/>
      <c r="N34" s="794" t="s">
        <v>101</v>
      </c>
      <c r="O34" s="794"/>
      <c r="P34" s="793"/>
    </row>
    <row r="35" spans="1:17">
      <c r="B35" s="793"/>
      <c r="C35" s="793"/>
      <c r="D35" s="793"/>
      <c r="E35" s="793"/>
      <c r="F35" s="793"/>
      <c r="G35" s="793"/>
      <c r="H35" s="793"/>
      <c r="I35" s="793"/>
      <c r="J35" s="793"/>
      <c r="K35" s="793"/>
      <c r="L35" s="793"/>
      <c r="M35" s="793"/>
      <c r="N35" s="794"/>
      <c r="O35" s="794"/>
      <c r="P35" s="793"/>
    </row>
    <row r="36" spans="1:17">
      <c r="B36" s="793"/>
      <c r="C36" s="793"/>
      <c r="D36" s="793"/>
      <c r="E36" s="793"/>
      <c r="F36" s="793"/>
      <c r="G36" s="793"/>
      <c r="H36" s="793"/>
      <c r="I36" s="793"/>
      <c r="J36" s="793"/>
      <c r="K36" s="793"/>
      <c r="L36" s="793"/>
      <c r="M36" s="793"/>
      <c r="N36" s="794"/>
      <c r="O36" s="794"/>
      <c r="P36" s="793"/>
    </row>
    <row r="37" spans="1:17">
      <c r="B37" s="793"/>
      <c r="C37" s="793"/>
      <c r="D37" s="793"/>
      <c r="E37" s="793"/>
      <c r="F37" s="793"/>
      <c r="G37" s="793"/>
      <c r="H37" s="793"/>
      <c r="I37" s="793"/>
      <c r="J37" s="793"/>
      <c r="K37" s="793"/>
      <c r="L37" s="793"/>
      <c r="M37" s="793"/>
      <c r="N37" s="794"/>
      <c r="O37" s="794"/>
      <c r="P37" s="793"/>
    </row>
    <row r="38" spans="1:17">
      <c r="B38" s="793"/>
      <c r="C38" s="793"/>
      <c r="D38" s="793"/>
      <c r="E38" s="793"/>
      <c r="F38" s="793"/>
      <c r="G38" s="793"/>
      <c r="H38" s="793"/>
      <c r="I38" s="793"/>
      <c r="J38" s="793"/>
      <c r="K38" s="793"/>
      <c r="L38" s="793"/>
      <c r="M38" s="793"/>
      <c r="N38" s="794"/>
      <c r="O38" s="794"/>
      <c r="P38" s="793"/>
    </row>
    <row r="39" spans="1:17">
      <c r="B39" s="793"/>
      <c r="C39" s="793"/>
      <c r="D39" s="793"/>
      <c r="E39" s="793"/>
      <c r="F39" s="793"/>
      <c r="G39" s="793"/>
      <c r="H39" s="793"/>
      <c r="I39" s="793"/>
      <c r="J39" s="793"/>
      <c r="K39" s="793"/>
      <c r="L39" s="793"/>
      <c r="M39" s="793"/>
      <c r="N39" s="794"/>
      <c r="O39" s="794"/>
      <c r="P39" s="793"/>
    </row>
    <row r="40" spans="1:17">
      <c r="B40" s="793"/>
      <c r="C40" s="793"/>
      <c r="D40" s="793"/>
      <c r="E40" s="793"/>
      <c r="F40" s="793"/>
      <c r="G40" s="793"/>
      <c r="H40" s="793"/>
      <c r="I40" s="793"/>
      <c r="J40" s="793"/>
      <c r="K40" s="793"/>
      <c r="L40" s="793"/>
      <c r="M40" s="793"/>
      <c r="N40" s="794"/>
      <c r="O40" s="794"/>
      <c r="P40" s="793"/>
    </row>
    <row r="41" spans="1:17">
      <c r="B41" s="793"/>
      <c r="C41" s="793"/>
      <c r="D41" s="793"/>
      <c r="E41" s="793"/>
      <c r="F41" s="793"/>
      <c r="G41" s="793"/>
      <c r="H41" s="793"/>
      <c r="I41" s="793"/>
      <c r="J41" s="793"/>
      <c r="K41" s="793"/>
      <c r="L41" s="793"/>
      <c r="M41" s="793"/>
      <c r="N41" s="794"/>
      <c r="O41" s="794"/>
      <c r="P41" s="793"/>
    </row>
    <row r="42" spans="1:17">
      <c r="B42" s="793"/>
      <c r="C42" s="793"/>
      <c r="D42" s="793"/>
      <c r="E42" s="793"/>
      <c r="F42" s="793"/>
      <c r="G42" s="793"/>
      <c r="H42" s="793"/>
      <c r="I42" s="793"/>
      <c r="J42" s="793"/>
      <c r="K42" s="793"/>
      <c r="L42" s="793"/>
      <c r="M42" s="793"/>
      <c r="N42" s="794"/>
      <c r="O42" s="794"/>
      <c r="P42" s="793"/>
    </row>
    <row r="43" spans="1:17">
      <c r="B43" s="793"/>
      <c r="C43" s="793"/>
      <c r="D43" s="793"/>
      <c r="E43" s="793"/>
      <c r="F43" s="793"/>
      <c r="G43" s="793"/>
      <c r="H43" s="793"/>
      <c r="I43" s="793"/>
      <c r="J43" s="793"/>
      <c r="K43" s="793"/>
      <c r="L43" s="793"/>
      <c r="M43" s="793"/>
      <c r="N43" s="794"/>
      <c r="O43" s="794"/>
      <c r="P43" s="793"/>
    </row>
    <row r="44" spans="1:17">
      <c r="B44" s="793"/>
      <c r="C44" s="793"/>
      <c r="D44" s="793"/>
      <c r="E44" s="793"/>
      <c r="F44" s="793"/>
      <c r="G44" s="793"/>
      <c r="H44" s="793"/>
      <c r="I44" s="793"/>
      <c r="J44" s="793"/>
      <c r="K44" s="793"/>
      <c r="L44" s="793"/>
      <c r="M44" s="793"/>
      <c r="N44" s="794"/>
      <c r="O44" s="794"/>
      <c r="P44" s="793"/>
    </row>
    <row r="45" spans="1:17">
      <c r="B45" s="793"/>
      <c r="C45" s="793"/>
      <c r="D45" s="793"/>
      <c r="E45" s="793"/>
      <c r="F45" s="793"/>
      <c r="G45" s="793"/>
      <c r="H45" s="793"/>
      <c r="I45" s="793"/>
      <c r="J45" s="793"/>
      <c r="K45" s="793"/>
      <c r="L45" s="793"/>
      <c r="M45" s="793"/>
      <c r="N45" s="794"/>
      <c r="O45" s="794"/>
      <c r="P45" s="793"/>
    </row>
    <row r="46" spans="1:17">
      <c r="B46" s="793"/>
      <c r="C46" s="793"/>
      <c r="D46" s="793"/>
      <c r="E46" s="793"/>
      <c r="F46" s="793"/>
      <c r="G46" s="793"/>
      <c r="H46" s="793"/>
      <c r="I46" s="793"/>
      <c r="J46" s="793"/>
      <c r="K46" s="793"/>
      <c r="L46" s="793"/>
      <c r="M46" s="793"/>
      <c r="N46" s="794"/>
      <c r="O46" s="794"/>
      <c r="P46" s="793"/>
    </row>
    <row r="47" spans="1:17">
      <c r="B47" s="793"/>
      <c r="C47" s="793"/>
      <c r="D47" s="793"/>
      <c r="E47" s="793"/>
      <c r="F47" s="793"/>
      <c r="G47" s="793"/>
      <c r="H47" s="793"/>
      <c r="I47" s="793"/>
      <c r="J47" s="793"/>
      <c r="K47" s="793"/>
      <c r="L47" s="793"/>
      <c r="M47" s="793"/>
      <c r="N47" s="794"/>
      <c r="O47" s="794"/>
      <c r="P47" s="793"/>
    </row>
    <row r="48" spans="1:17">
      <c r="B48" s="793"/>
      <c r="C48" s="793"/>
      <c r="D48" s="793"/>
      <c r="E48" s="793"/>
      <c r="F48" s="793"/>
      <c r="G48" s="793"/>
      <c r="H48" s="793"/>
      <c r="I48" s="793"/>
      <c r="J48" s="793"/>
      <c r="K48" s="793"/>
      <c r="L48" s="793"/>
      <c r="M48" s="793"/>
      <c r="N48" s="794"/>
      <c r="O48" s="794"/>
      <c r="P48" s="793"/>
    </row>
    <row r="49" spans="2:16">
      <c r="B49" s="793"/>
      <c r="C49" s="793"/>
      <c r="D49" s="793"/>
      <c r="E49" s="793"/>
      <c r="F49" s="793"/>
      <c r="G49" s="793"/>
      <c r="H49" s="793"/>
      <c r="I49" s="793"/>
      <c r="J49" s="793"/>
      <c r="K49" s="793"/>
      <c r="L49" s="793"/>
      <c r="M49" s="793"/>
      <c r="N49" s="794"/>
      <c r="O49" s="794"/>
      <c r="P49" s="793"/>
    </row>
    <row r="50" spans="2:16">
      <c r="B50" s="793"/>
      <c r="C50" s="793"/>
      <c r="D50" s="793"/>
      <c r="E50" s="793"/>
      <c r="F50" s="793"/>
      <c r="G50" s="793"/>
      <c r="H50" s="793"/>
      <c r="I50" s="793"/>
      <c r="J50" s="793"/>
      <c r="K50" s="793"/>
      <c r="L50" s="793"/>
      <c r="M50" s="793"/>
      <c r="N50" s="794"/>
      <c r="O50" s="794"/>
      <c r="P50" s="793"/>
    </row>
    <row r="51" spans="2:16">
      <c r="B51" s="793"/>
      <c r="C51" s="793"/>
      <c r="D51" s="793"/>
      <c r="E51" s="793"/>
      <c r="F51" s="793"/>
      <c r="G51" s="793"/>
      <c r="H51" s="793"/>
      <c r="I51" s="793"/>
      <c r="J51" s="793"/>
      <c r="K51" s="793"/>
      <c r="L51" s="793"/>
      <c r="M51" s="793"/>
      <c r="N51" s="794"/>
      <c r="O51" s="794"/>
      <c r="P51" s="793"/>
    </row>
    <row r="52" spans="2:16">
      <c r="B52" s="793"/>
      <c r="C52" s="793"/>
      <c r="D52" s="793"/>
      <c r="E52" s="793"/>
      <c r="F52" s="793"/>
      <c r="G52" s="793"/>
      <c r="H52" s="793"/>
      <c r="I52" s="793"/>
      <c r="J52" s="793"/>
      <c r="K52" s="793"/>
      <c r="L52" s="793"/>
      <c r="M52" s="793"/>
      <c r="N52" s="794"/>
      <c r="O52" s="794"/>
      <c r="P52" s="793"/>
    </row>
    <row r="53" spans="2:16">
      <c r="B53" s="793"/>
      <c r="C53" s="793"/>
      <c r="D53" s="793"/>
      <c r="E53" s="793"/>
      <c r="F53" s="793"/>
      <c r="G53" s="793"/>
      <c r="H53" s="793"/>
      <c r="I53" s="793"/>
      <c r="J53" s="793"/>
      <c r="K53" s="793"/>
      <c r="L53" s="793"/>
      <c r="M53" s="793"/>
      <c r="N53" s="794"/>
      <c r="O53" s="794"/>
      <c r="P53" s="793"/>
    </row>
    <row r="54" spans="2:16">
      <c r="B54" s="793"/>
      <c r="C54" s="793"/>
      <c r="D54" s="793"/>
      <c r="E54" s="793"/>
      <c r="F54" s="793"/>
      <c r="G54" s="793"/>
      <c r="H54" s="793"/>
      <c r="I54" s="793"/>
      <c r="J54" s="793"/>
      <c r="K54" s="793"/>
      <c r="L54" s="793"/>
      <c r="M54" s="793"/>
      <c r="N54" s="794"/>
      <c r="O54" s="794"/>
      <c r="P54" s="793"/>
    </row>
    <row r="55" spans="2:16">
      <c r="B55" s="793"/>
      <c r="C55" s="793"/>
      <c r="D55" s="793"/>
      <c r="E55" s="793"/>
      <c r="F55" s="793"/>
      <c r="G55" s="793"/>
      <c r="H55" s="793"/>
      <c r="I55" s="793"/>
      <c r="J55" s="793"/>
      <c r="K55" s="793"/>
      <c r="L55" s="793"/>
      <c r="M55" s="793"/>
      <c r="N55" s="794"/>
      <c r="O55" s="794"/>
      <c r="P55" s="793"/>
    </row>
    <row r="56" spans="2:16">
      <c r="B56" s="793"/>
      <c r="C56" s="793"/>
      <c r="D56" s="793"/>
      <c r="E56" s="793"/>
      <c r="F56" s="793"/>
      <c r="G56" s="793"/>
      <c r="H56" s="793"/>
      <c r="I56" s="793"/>
      <c r="J56" s="793"/>
      <c r="K56" s="793"/>
      <c r="L56" s="793"/>
      <c r="M56" s="793"/>
      <c r="N56" s="794"/>
      <c r="O56" s="794"/>
      <c r="P56" s="793"/>
    </row>
    <row r="57" spans="2:16">
      <c r="B57" s="793"/>
      <c r="C57" s="793"/>
      <c r="D57" s="793"/>
      <c r="E57" s="793"/>
      <c r="F57" s="793"/>
      <c r="G57" s="793"/>
      <c r="H57" s="793"/>
      <c r="I57" s="793"/>
      <c r="J57" s="793"/>
      <c r="K57" s="793"/>
      <c r="L57" s="793"/>
      <c r="M57" s="793"/>
      <c r="N57" s="794"/>
      <c r="O57" s="794"/>
      <c r="P57" s="793"/>
    </row>
    <row r="58" spans="2:16">
      <c r="B58" s="793"/>
      <c r="C58" s="793"/>
      <c r="D58" s="793"/>
      <c r="E58" s="793"/>
      <c r="F58" s="793"/>
      <c r="G58" s="793"/>
      <c r="H58" s="793"/>
      <c r="I58" s="793"/>
      <c r="J58" s="793"/>
      <c r="K58" s="793"/>
      <c r="L58" s="793"/>
      <c r="M58" s="793"/>
      <c r="N58" s="794"/>
      <c r="O58" s="794"/>
      <c r="P58" s="793"/>
    </row>
    <row r="59" spans="2:16">
      <c r="B59" s="793"/>
      <c r="C59" s="793"/>
      <c r="D59" s="793"/>
      <c r="E59" s="793"/>
      <c r="F59" s="793"/>
      <c r="G59" s="793"/>
      <c r="H59" s="793"/>
      <c r="I59" s="793"/>
      <c r="J59" s="793"/>
      <c r="K59" s="793"/>
      <c r="L59" s="793"/>
      <c r="M59" s="793"/>
      <c r="N59" s="794"/>
      <c r="O59" s="794"/>
      <c r="P59" s="793"/>
    </row>
    <row r="60" spans="2:16">
      <c r="B60" s="793"/>
      <c r="C60" s="793"/>
      <c r="D60" s="793"/>
      <c r="E60" s="793"/>
      <c r="F60" s="793"/>
      <c r="G60" s="793"/>
      <c r="H60" s="793"/>
      <c r="I60" s="793"/>
      <c r="J60" s="793"/>
      <c r="K60" s="793"/>
      <c r="L60" s="793"/>
      <c r="M60" s="793"/>
      <c r="N60" s="794"/>
      <c r="O60" s="794"/>
      <c r="P60" s="793"/>
    </row>
    <row r="61" spans="2:16">
      <c r="B61" s="793"/>
      <c r="C61" s="793"/>
      <c r="D61" s="793"/>
      <c r="E61" s="793"/>
      <c r="F61" s="793"/>
      <c r="G61" s="793"/>
      <c r="H61" s="793"/>
      <c r="I61" s="793"/>
      <c r="J61" s="793"/>
      <c r="K61" s="793"/>
      <c r="L61" s="793"/>
      <c r="M61" s="793"/>
      <c r="N61" s="794"/>
      <c r="O61" s="794"/>
      <c r="P61" s="793"/>
    </row>
    <row r="62" spans="2:16">
      <c r="B62" s="793"/>
      <c r="C62" s="793"/>
      <c r="D62" s="793"/>
      <c r="E62" s="793"/>
      <c r="F62" s="793"/>
      <c r="G62" s="793"/>
      <c r="H62" s="793"/>
      <c r="I62" s="793"/>
      <c r="J62" s="793"/>
      <c r="K62" s="793"/>
      <c r="L62" s="793"/>
      <c r="M62" s="793"/>
      <c r="N62" s="794"/>
      <c r="O62" s="794"/>
      <c r="P62" s="793"/>
    </row>
    <row r="63" spans="2:16">
      <c r="B63" s="793"/>
      <c r="C63" s="793"/>
      <c r="D63" s="793"/>
      <c r="E63" s="793"/>
      <c r="F63" s="793"/>
      <c r="G63" s="793"/>
      <c r="H63" s="793"/>
      <c r="I63" s="793"/>
      <c r="J63" s="793"/>
      <c r="K63" s="793"/>
      <c r="L63" s="793"/>
      <c r="M63" s="793"/>
      <c r="N63" s="794"/>
      <c r="O63" s="794"/>
      <c r="P63" s="793"/>
    </row>
    <row r="64" spans="2:16">
      <c r="B64" s="793"/>
      <c r="C64" s="793"/>
      <c r="D64" s="793"/>
      <c r="E64" s="793"/>
      <c r="F64" s="793"/>
      <c r="G64" s="793"/>
      <c r="H64" s="793"/>
      <c r="I64" s="793"/>
      <c r="J64" s="793"/>
      <c r="K64" s="793"/>
      <c r="L64" s="793"/>
      <c r="M64" s="793"/>
      <c r="N64" s="794"/>
      <c r="O64" s="794"/>
      <c r="P64" s="793"/>
    </row>
    <row r="65" spans="2:16">
      <c r="B65" s="793"/>
      <c r="C65" s="793"/>
      <c r="D65" s="793"/>
      <c r="E65" s="793"/>
      <c r="F65" s="793"/>
      <c r="G65" s="793"/>
      <c r="H65" s="793"/>
      <c r="I65" s="793"/>
      <c r="J65" s="793"/>
      <c r="K65" s="793"/>
      <c r="L65" s="793"/>
      <c r="M65" s="793"/>
      <c r="N65" s="794"/>
      <c r="O65" s="794"/>
      <c r="P65" s="793"/>
    </row>
    <row r="66" spans="2:16">
      <c r="B66" s="793"/>
      <c r="C66" s="793"/>
      <c r="D66" s="793"/>
      <c r="E66" s="793"/>
      <c r="F66" s="793"/>
      <c r="G66" s="793"/>
      <c r="H66" s="793"/>
      <c r="I66" s="793"/>
      <c r="J66" s="793"/>
      <c r="K66" s="793"/>
      <c r="L66" s="793"/>
      <c r="M66" s="793"/>
      <c r="N66" s="794"/>
      <c r="O66" s="794"/>
      <c r="P66" s="793"/>
    </row>
    <row r="67" spans="2:16">
      <c r="B67" s="793"/>
      <c r="C67" s="793"/>
      <c r="D67" s="793"/>
      <c r="E67" s="793"/>
      <c r="F67" s="793"/>
      <c r="G67" s="793"/>
      <c r="H67" s="793"/>
      <c r="I67" s="793"/>
      <c r="J67" s="793"/>
      <c r="K67" s="793"/>
      <c r="L67" s="793"/>
      <c r="M67" s="793"/>
      <c r="N67" s="794"/>
      <c r="O67" s="794"/>
      <c r="P67" s="793"/>
    </row>
    <row r="68" spans="2:16">
      <c r="B68" s="793"/>
      <c r="C68" s="793"/>
      <c r="D68" s="793"/>
      <c r="E68" s="793"/>
      <c r="F68" s="793"/>
      <c r="G68" s="793"/>
      <c r="H68" s="793"/>
      <c r="I68" s="793"/>
      <c r="J68" s="793"/>
      <c r="K68" s="793"/>
      <c r="L68" s="793"/>
      <c r="M68" s="793"/>
      <c r="N68" s="794"/>
      <c r="O68" s="794"/>
      <c r="P68" s="793"/>
    </row>
    <row r="69" spans="2:16">
      <c r="B69" s="793"/>
      <c r="C69" s="793"/>
      <c r="D69" s="793"/>
      <c r="E69" s="793"/>
      <c r="F69" s="793"/>
      <c r="G69" s="793"/>
      <c r="H69" s="793"/>
      <c r="I69" s="793"/>
      <c r="J69" s="793"/>
      <c r="K69" s="793"/>
      <c r="L69" s="793"/>
      <c r="M69" s="793"/>
      <c r="N69" s="794"/>
      <c r="O69" s="794"/>
      <c r="P69" s="793"/>
    </row>
    <row r="70" spans="2:16">
      <c r="B70" s="793"/>
      <c r="C70" s="793"/>
      <c r="D70" s="793"/>
      <c r="E70" s="793"/>
      <c r="F70" s="793"/>
      <c r="G70" s="793"/>
      <c r="H70" s="793"/>
      <c r="I70" s="793"/>
      <c r="J70" s="793"/>
      <c r="K70" s="793"/>
      <c r="L70" s="793"/>
      <c r="M70" s="793"/>
      <c r="N70" s="794"/>
      <c r="O70" s="794"/>
      <c r="P70" s="793"/>
    </row>
    <row r="71" spans="2:16">
      <c r="B71" s="793"/>
      <c r="C71" s="793"/>
      <c r="D71" s="793"/>
      <c r="E71" s="793"/>
      <c r="F71" s="793"/>
      <c r="G71" s="793"/>
      <c r="H71" s="793"/>
      <c r="I71" s="793"/>
      <c r="J71" s="793"/>
      <c r="K71" s="793"/>
      <c r="L71" s="793"/>
      <c r="M71" s="793"/>
      <c r="N71" s="794"/>
      <c r="O71" s="794"/>
      <c r="P71" s="793"/>
    </row>
    <row r="72" spans="2:16">
      <c r="B72" s="793"/>
      <c r="C72" s="793"/>
      <c r="D72" s="793"/>
      <c r="E72" s="793"/>
      <c r="F72" s="793"/>
      <c r="G72" s="793"/>
      <c r="H72" s="793"/>
      <c r="I72" s="793"/>
      <c r="J72" s="793"/>
      <c r="K72" s="793"/>
      <c r="L72" s="793"/>
      <c r="M72" s="793"/>
      <c r="N72" s="794"/>
      <c r="O72" s="794"/>
      <c r="P72" s="793"/>
    </row>
    <row r="73" spans="2:16">
      <c r="B73" s="793"/>
      <c r="C73" s="793"/>
      <c r="D73" s="793"/>
      <c r="E73" s="793"/>
      <c r="F73" s="793"/>
      <c r="G73" s="793"/>
      <c r="H73" s="793"/>
      <c r="I73" s="793"/>
      <c r="J73" s="793"/>
      <c r="K73" s="793"/>
      <c r="L73" s="793"/>
      <c r="M73" s="793"/>
      <c r="N73" s="794"/>
      <c r="O73" s="794"/>
      <c r="P73" s="793"/>
    </row>
    <row r="74" spans="2:16">
      <c r="B74" s="793"/>
      <c r="C74" s="793"/>
      <c r="D74" s="793"/>
      <c r="E74" s="793"/>
      <c r="F74" s="793"/>
      <c r="G74" s="793"/>
      <c r="H74" s="793"/>
      <c r="I74" s="793"/>
      <c r="J74" s="793"/>
      <c r="K74" s="793"/>
      <c r="L74" s="793"/>
      <c r="M74" s="793"/>
      <c r="N74" s="794"/>
      <c r="O74" s="794"/>
      <c r="P74" s="793"/>
    </row>
    <row r="75" spans="2:16">
      <c r="B75" s="793"/>
      <c r="C75" s="793"/>
      <c r="D75" s="793"/>
      <c r="E75" s="793"/>
      <c r="F75" s="793"/>
      <c r="G75" s="793"/>
      <c r="H75" s="793"/>
      <c r="I75" s="793"/>
      <c r="J75" s="793"/>
      <c r="K75" s="793"/>
      <c r="L75" s="793"/>
      <c r="M75" s="793"/>
      <c r="N75" s="794"/>
      <c r="O75" s="794"/>
      <c r="P75" s="793"/>
    </row>
    <row r="76" spans="2:16">
      <c r="B76" s="793"/>
      <c r="C76" s="793"/>
      <c r="D76" s="793"/>
      <c r="E76" s="793"/>
      <c r="F76" s="793"/>
      <c r="G76" s="793"/>
      <c r="H76" s="793"/>
      <c r="I76" s="793"/>
      <c r="J76" s="793"/>
      <c r="K76" s="793"/>
      <c r="L76" s="793"/>
      <c r="M76" s="793"/>
      <c r="N76" s="794"/>
      <c r="O76" s="794"/>
      <c r="P76" s="793"/>
    </row>
    <row r="77" spans="2:16">
      <c r="B77" s="793"/>
      <c r="C77" s="793"/>
      <c r="D77" s="793"/>
      <c r="E77" s="793"/>
      <c r="F77" s="793"/>
      <c r="G77" s="793"/>
      <c r="H77" s="793"/>
      <c r="I77" s="793"/>
      <c r="J77" s="793"/>
      <c r="K77" s="793"/>
      <c r="L77" s="793"/>
      <c r="M77" s="793"/>
      <c r="N77" s="794"/>
      <c r="O77" s="794"/>
      <c r="P77" s="793"/>
    </row>
    <row r="78" spans="2:16">
      <c r="B78" s="793"/>
      <c r="C78" s="793"/>
      <c r="D78" s="793"/>
      <c r="E78" s="793"/>
      <c r="F78" s="793"/>
      <c r="G78" s="793"/>
      <c r="H78" s="793"/>
      <c r="I78" s="793"/>
      <c r="J78" s="793"/>
      <c r="K78" s="793"/>
      <c r="L78" s="793"/>
      <c r="M78" s="793"/>
      <c r="N78" s="794"/>
      <c r="O78" s="794"/>
      <c r="P78" s="793"/>
    </row>
    <row r="79" spans="2:16">
      <c r="B79" s="793"/>
      <c r="C79" s="793"/>
      <c r="D79" s="793"/>
      <c r="E79" s="793"/>
      <c r="F79" s="793"/>
      <c r="G79" s="793"/>
      <c r="H79" s="793"/>
      <c r="I79" s="793"/>
      <c r="J79" s="793"/>
      <c r="K79" s="793"/>
      <c r="L79" s="793"/>
      <c r="M79" s="793"/>
      <c r="N79" s="794"/>
      <c r="O79" s="794"/>
      <c r="P79" s="793"/>
    </row>
    <row r="80" spans="2:16">
      <c r="B80" s="793"/>
      <c r="C80" s="793"/>
      <c r="D80" s="793"/>
      <c r="E80" s="793"/>
      <c r="F80" s="793"/>
      <c r="G80" s="793"/>
      <c r="H80" s="793"/>
      <c r="I80" s="793"/>
      <c r="J80" s="793"/>
      <c r="K80" s="793"/>
      <c r="L80" s="793"/>
      <c r="M80" s="793"/>
      <c r="N80" s="794"/>
      <c r="O80" s="794"/>
      <c r="P80" s="793"/>
    </row>
    <row r="81" spans="2:16">
      <c r="B81" s="793"/>
      <c r="C81" s="793"/>
      <c r="D81" s="793"/>
      <c r="E81" s="793"/>
      <c r="F81" s="793"/>
      <c r="G81" s="793"/>
      <c r="H81" s="793"/>
      <c r="I81" s="793"/>
      <c r="J81" s="793"/>
      <c r="K81" s="793"/>
      <c r="L81" s="793"/>
      <c r="M81" s="793"/>
      <c r="N81" s="794"/>
      <c r="O81" s="794"/>
      <c r="P81" s="793"/>
    </row>
    <row r="82" spans="2:16">
      <c r="B82" s="793"/>
      <c r="C82" s="793"/>
      <c r="D82" s="793"/>
      <c r="E82" s="793"/>
      <c r="F82" s="793"/>
      <c r="G82" s="793"/>
      <c r="H82" s="793"/>
      <c r="I82" s="793"/>
      <c r="J82" s="793"/>
      <c r="K82" s="793"/>
      <c r="L82" s="793"/>
      <c r="M82" s="793"/>
      <c r="N82" s="794"/>
      <c r="O82" s="794"/>
      <c r="P82" s="793"/>
    </row>
    <row r="83" spans="2:16">
      <c r="B83" s="793"/>
      <c r="C83" s="793"/>
      <c r="D83" s="793"/>
      <c r="E83" s="793"/>
      <c r="F83" s="793"/>
      <c r="G83" s="793"/>
      <c r="H83" s="793"/>
      <c r="I83" s="793"/>
      <c r="J83" s="793"/>
      <c r="K83" s="793"/>
      <c r="L83" s="793"/>
      <c r="M83" s="793"/>
      <c r="N83" s="794"/>
      <c r="O83" s="794"/>
      <c r="P83" s="793"/>
    </row>
    <row r="84" spans="2:16">
      <c r="B84" s="793"/>
      <c r="C84" s="793"/>
      <c r="D84" s="793"/>
      <c r="E84" s="793"/>
      <c r="F84" s="793"/>
      <c r="G84" s="793"/>
      <c r="H84" s="793"/>
      <c r="I84" s="793"/>
      <c r="J84" s="793"/>
      <c r="K84" s="793"/>
      <c r="L84" s="793"/>
      <c r="M84" s="793"/>
      <c r="N84" s="794"/>
      <c r="O84" s="794"/>
      <c r="P84" s="793"/>
    </row>
    <row r="85" spans="2:16">
      <c r="B85" s="793"/>
      <c r="C85" s="793"/>
      <c r="D85" s="793"/>
      <c r="E85" s="793"/>
      <c r="F85" s="793"/>
      <c r="G85" s="793"/>
      <c r="H85" s="793"/>
      <c r="I85" s="793"/>
      <c r="J85" s="793"/>
      <c r="K85" s="793"/>
      <c r="L85" s="793"/>
      <c r="M85" s="793"/>
      <c r="N85" s="794"/>
      <c r="O85" s="794"/>
      <c r="P85" s="793"/>
    </row>
    <row r="86" spans="2:16">
      <c r="B86" s="793"/>
      <c r="C86" s="793"/>
      <c r="D86" s="793"/>
      <c r="E86" s="793"/>
      <c r="F86" s="793"/>
      <c r="G86" s="793"/>
      <c r="H86" s="793"/>
      <c r="I86" s="793"/>
      <c r="J86" s="793"/>
      <c r="K86" s="793"/>
      <c r="L86" s="793"/>
      <c r="M86" s="793"/>
      <c r="N86" s="794"/>
      <c r="O86" s="794"/>
      <c r="P86" s="793"/>
    </row>
    <row r="87" spans="2:16">
      <c r="B87" s="793"/>
      <c r="C87" s="793"/>
      <c r="D87" s="793"/>
      <c r="E87" s="793"/>
      <c r="F87" s="793"/>
      <c r="G87" s="793"/>
      <c r="H87" s="793"/>
      <c r="I87" s="793"/>
      <c r="J87" s="793"/>
      <c r="K87" s="793"/>
      <c r="L87" s="793"/>
      <c r="M87" s="793"/>
      <c r="N87" s="794"/>
      <c r="O87" s="794"/>
      <c r="P87" s="793"/>
    </row>
    <row r="88" spans="2:16">
      <c r="B88" s="793"/>
      <c r="C88" s="793"/>
      <c r="D88" s="793"/>
      <c r="E88" s="793"/>
      <c r="F88" s="793"/>
      <c r="G88" s="793"/>
      <c r="H88" s="793"/>
      <c r="I88" s="793"/>
      <c r="J88" s="793"/>
      <c r="K88" s="793"/>
      <c r="L88" s="793"/>
      <c r="M88" s="793"/>
      <c r="N88" s="794"/>
      <c r="O88" s="794"/>
      <c r="P88" s="793"/>
    </row>
    <row r="89" spans="2:16">
      <c r="B89" s="793"/>
      <c r="C89" s="793"/>
      <c r="D89" s="793"/>
      <c r="E89" s="793"/>
      <c r="F89" s="793"/>
      <c r="G89" s="793"/>
      <c r="H89" s="793"/>
      <c r="I89" s="793"/>
      <c r="J89" s="793"/>
      <c r="K89" s="793"/>
      <c r="L89" s="793"/>
      <c r="M89" s="793"/>
      <c r="N89" s="794"/>
      <c r="O89" s="794"/>
      <c r="P89" s="793"/>
    </row>
    <row r="90" spans="2:16">
      <c r="B90" s="793"/>
      <c r="C90" s="793"/>
      <c r="D90" s="793"/>
      <c r="E90" s="793"/>
      <c r="F90" s="793"/>
      <c r="G90" s="793"/>
      <c r="H90" s="793"/>
      <c r="I90" s="793"/>
      <c r="J90" s="793"/>
      <c r="K90" s="793"/>
      <c r="L90" s="793"/>
      <c r="M90" s="793"/>
      <c r="N90" s="794"/>
      <c r="O90" s="794"/>
      <c r="P90" s="793"/>
    </row>
    <row r="91" spans="2:16" ht="13.5" customHeight="1">
      <c r="B91" s="793"/>
      <c r="C91" s="793"/>
      <c r="D91" s="793"/>
      <c r="E91" s="793"/>
      <c r="F91" s="793"/>
      <c r="G91" s="793"/>
      <c r="H91" s="793"/>
      <c r="I91" s="793"/>
      <c r="J91" s="793"/>
      <c r="K91" s="793"/>
      <c r="L91" s="793"/>
      <c r="M91" s="793"/>
      <c r="N91" s="794"/>
      <c r="O91" s="794"/>
      <c r="P91" s="793"/>
    </row>
    <row r="92" spans="2:16" ht="13.5" customHeight="1">
      <c r="B92" s="793"/>
      <c r="C92" s="793"/>
      <c r="D92" s="793"/>
      <c r="E92" s="793"/>
      <c r="F92" s="793"/>
      <c r="G92" s="793"/>
      <c r="H92" s="793"/>
      <c r="I92" s="793"/>
      <c r="J92" s="793"/>
      <c r="K92" s="793"/>
      <c r="L92" s="793"/>
      <c r="M92" s="793"/>
      <c r="N92" s="794"/>
      <c r="O92" s="794"/>
      <c r="P92" s="793"/>
    </row>
    <row r="93" spans="2:16" ht="13.5" customHeight="1">
      <c r="B93" s="793"/>
      <c r="C93" s="793"/>
      <c r="D93" s="793"/>
      <c r="E93" s="793"/>
      <c r="F93" s="793"/>
      <c r="G93" s="793"/>
      <c r="H93" s="793"/>
      <c r="I93" s="793"/>
      <c r="J93" s="793"/>
      <c r="K93" s="793"/>
      <c r="L93" s="793"/>
      <c r="M93" s="793"/>
      <c r="N93" s="794"/>
      <c r="O93" s="794"/>
      <c r="P93" s="793"/>
    </row>
    <row r="94" spans="2:16" ht="13.5" customHeight="1">
      <c r="B94" s="793"/>
      <c r="C94" s="793"/>
      <c r="D94" s="793"/>
      <c r="E94" s="793"/>
      <c r="F94" s="793"/>
      <c r="G94" s="793"/>
      <c r="H94" s="793"/>
      <c r="I94" s="793"/>
      <c r="J94" s="793"/>
      <c r="K94" s="793"/>
      <c r="L94" s="793"/>
      <c r="M94" s="793"/>
      <c r="N94" s="794"/>
      <c r="O94" s="794"/>
      <c r="P94" s="793"/>
    </row>
    <row r="95" spans="2:16" ht="13.5" customHeight="1">
      <c r="B95" s="793"/>
      <c r="C95" s="793"/>
      <c r="D95" s="793"/>
      <c r="E95" s="793"/>
      <c r="F95" s="793"/>
      <c r="G95" s="793"/>
      <c r="H95" s="793"/>
      <c r="I95" s="793"/>
      <c r="J95" s="793"/>
      <c r="K95" s="793"/>
      <c r="L95" s="793"/>
      <c r="M95" s="793"/>
      <c r="N95" s="794"/>
      <c r="O95" s="794"/>
      <c r="P95" s="793"/>
    </row>
    <row r="96" spans="2:16" ht="13.5" customHeight="1">
      <c r="B96" s="793"/>
      <c r="C96" s="793"/>
      <c r="D96" s="793"/>
      <c r="E96" s="793"/>
      <c r="F96" s="793"/>
      <c r="G96" s="793"/>
      <c r="H96" s="793"/>
      <c r="I96" s="793"/>
      <c r="J96" s="793"/>
      <c r="K96" s="793"/>
      <c r="L96" s="793"/>
      <c r="M96" s="793"/>
      <c r="N96" s="794"/>
      <c r="O96" s="794"/>
      <c r="P96" s="793"/>
    </row>
    <row r="97" spans="2:16" ht="13.5" customHeight="1">
      <c r="B97" s="793"/>
      <c r="C97" s="793"/>
      <c r="D97" s="793"/>
      <c r="E97" s="793"/>
      <c r="F97" s="793"/>
      <c r="G97" s="793"/>
      <c r="H97" s="793"/>
      <c r="I97" s="793"/>
      <c r="J97" s="793"/>
      <c r="K97" s="793"/>
      <c r="L97" s="793"/>
      <c r="M97" s="793"/>
      <c r="N97" s="794"/>
      <c r="O97" s="794"/>
      <c r="P97" s="793"/>
    </row>
    <row r="98" spans="2:16" ht="13.5" customHeight="1">
      <c r="B98" s="793"/>
      <c r="C98" s="793"/>
      <c r="D98" s="793"/>
      <c r="E98" s="793"/>
      <c r="F98" s="793"/>
      <c r="G98" s="793"/>
      <c r="H98" s="793"/>
      <c r="I98" s="793"/>
      <c r="J98" s="793"/>
      <c r="K98" s="793"/>
      <c r="L98" s="793"/>
      <c r="M98" s="793"/>
      <c r="N98" s="794"/>
      <c r="O98" s="794"/>
      <c r="P98" s="793"/>
    </row>
    <row r="99" spans="2:16" ht="13.5" customHeight="1">
      <c r="B99" s="793"/>
      <c r="C99" s="793"/>
      <c r="D99" s="793"/>
      <c r="E99" s="793"/>
      <c r="F99" s="793"/>
      <c r="G99" s="793"/>
      <c r="H99" s="793"/>
      <c r="I99" s="793"/>
      <c r="J99" s="793"/>
      <c r="K99" s="793"/>
      <c r="L99" s="793"/>
      <c r="M99" s="793"/>
      <c r="N99" s="794"/>
      <c r="O99" s="794"/>
      <c r="P99" s="793"/>
    </row>
    <row r="100" spans="2:16" ht="13.5" customHeight="1">
      <c r="B100" s="793"/>
      <c r="C100" s="793"/>
      <c r="D100" s="793"/>
      <c r="E100" s="793"/>
      <c r="F100" s="793"/>
      <c r="G100" s="793"/>
      <c r="H100" s="793"/>
      <c r="I100" s="793"/>
      <c r="J100" s="793"/>
      <c r="K100" s="793"/>
      <c r="L100" s="793"/>
      <c r="M100" s="793"/>
      <c r="N100" s="794"/>
      <c r="O100" s="794"/>
      <c r="P100" s="793"/>
    </row>
    <row r="101" spans="2:16" ht="13.5" customHeight="1">
      <c r="B101" s="793"/>
      <c r="C101" s="793"/>
      <c r="D101" s="793"/>
      <c r="E101" s="793"/>
      <c r="F101" s="793"/>
      <c r="G101" s="793"/>
      <c r="H101" s="793"/>
      <c r="I101" s="793"/>
      <c r="J101" s="793"/>
      <c r="K101" s="793"/>
      <c r="L101" s="793"/>
      <c r="M101" s="793"/>
      <c r="N101" s="794"/>
      <c r="O101" s="794"/>
      <c r="P101" s="793"/>
    </row>
    <row r="102" spans="2:16" ht="13.5" customHeight="1">
      <c r="B102" s="793"/>
      <c r="C102" s="793"/>
      <c r="D102" s="793"/>
      <c r="E102" s="793"/>
      <c r="F102" s="793"/>
      <c r="G102" s="793"/>
      <c r="H102" s="793"/>
      <c r="I102" s="793"/>
      <c r="J102" s="793"/>
      <c r="K102" s="793"/>
      <c r="L102" s="793"/>
      <c r="M102" s="793"/>
      <c r="N102" s="794"/>
      <c r="O102" s="794"/>
      <c r="P102" s="793"/>
    </row>
    <row r="103" spans="2:16" ht="13.5" customHeight="1">
      <c r="B103" s="793"/>
      <c r="C103" s="793"/>
      <c r="D103" s="793"/>
      <c r="E103" s="793"/>
      <c r="F103" s="793"/>
      <c r="G103" s="793"/>
      <c r="H103" s="793"/>
      <c r="I103" s="793"/>
      <c r="J103" s="793"/>
      <c r="K103" s="793"/>
      <c r="L103" s="793"/>
      <c r="M103" s="793"/>
      <c r="N103" s="794"/>
      <c r="O103" s="794"/>
      <c r="P103" s="793"/>
    </row>
    <row r="104" spans="2:16" ht="13.5" customHeight="1">
      <c r="B104" s="793"/>
      <c r="C104" s="793"/>
      <c r="D104" s="793"/>
      <c r="E104" s="793"/>
      <c r="F104" s="793"/>
      <c r="G104" s="793"/>
      <c r="H104" s="793"/>
      <c r="I104" s="793"/>
      <c r="J104" s="793"/>
      <c r="K104" s="793"/>
      <c r="L104" s="793"/>
      <c r="M104" s="793"/>
      <c r="N104" s="794"/>
      <c r="O104" s="794"/>
      <c r="P104" s="793"/>
    </row>
    <row r="105" spans="2:16" ht="13.5" customHeight="1">
      <c r="B105" s="793"/>
      <c r="C105" s="793"/>
      <c r="D105" s="793"/>
      <c r="E105" s="793"/>
      <c r="F105" s="793"/>
      <c r="G105" s="793"/>
      <c r="H105" s="793"/>
      <c r="I105" s="793"/>
      <c r="J105" s="793"/>
      <c r="K105" s="793"/>
      <c r="L105" s="793"/>
      <c r="M105" s="793"/>
      <c r="N105" s="794"/>
      <c r="O105" s="794"/>
      <c r="P105" s="793"/>
    </row>
    <row r="106" spans="2:16" ht="13.5" customHeight="1">
      <c r="B106" s="793"/>
      <c r="C106" s="793"/>
      <c r="D106" s="793"/>
      <c r="E106" s="793"/>
      <c r="F106" s="793"/>
      <c r="G106" s="793"/>
      <c r="H106" s="793"/>
      <c r="I106" s="793"/>
      <c r="J106" s="793"/>
      <c r="K106" s="793"/>
      <c r="L106" s="793"/>
      <c r="M106" s="793"/>
      <c r="N106" s="794"/>
      <c r="O106" s="794"/>
      <c r="P106" s="793"/>
    </row>
    <row r="107" spans="2:16" ht="13.5" customHeight="1">
      <c r="B107" s="793"/>
      <c r="C107" s="793"/>
      <c r="D107" s="793"/>
      <c r="E107" s="793"/>
      <c r="F107" s="793"/>
      <c r="G107" s="793"/>
      <c r="H107" s="793"/>
      <c r="I107" s="793"/>
      <c r="J107" s="793"/>
      <c r="K107" s="793"/>
      <c r="L107" s="793"/>
      <c r="M107" s="793"/>
      <c r="N107" s="794"/>
      <c r="O107" s="794"/>
      <c r="P107" s="793"/>
    </row>
    <row r="108" spans="2:16" ht="13.5" customHeight="1">
      <c r="B108" s="793"/>
      <c r="C108" s="793"/>
      <c r="D108" s="793"/>
      <c r="E108" s="793"/>
      <c r="F108" s="793"/>
      <c r="G108" s="793"/>
      <c r="H108" s="793"/>
      <c r="I108" s="793"/>
      <c r="J108" s="793"/>
      <c r="K108" s="793"/>
      <c r="L108" s="793"/>
      <c r="M108" s="793"/>
      <c r="N108" s="794"/>
      <c r="O108" s="794"/>
      <c r="P108" s="793"/>
    </row>
    <row r="109" spans="2:16" ht="13.5" customHeight="1">
      <c r="B109" s="793"/>
      <c r="C109" s="793"/>
      <c r="D109" s="793"/>
      <c r="E109" s="793"/>
      <c r="F109" s="793"/>
      <c r="G109" s="793"/>
      <c r="H109" s="793"/>
      <c r="I109" s="793"/>
      <c r="J109" s="793"/>
      <c r="K109" s="793"/>
      <c r="L109" s="793"/>
      <c r="M109" s="793"/>
      <c r="N109" s="794"/>
      <c r="O109" s="794"/>
      <c r="P109" s="793"/>
    </row>
    <row r="110" spans="2:16">
      <c r="B110" s="793"/>
      <c r="C110" s="793"/>
      <c r="D110" s="793"/>
      <c r="E110" s="793"/>
      <c r="F110" s="793"/>
      <c r="G110" s="793"/>
      <c r="H110" s="793"/>
      <c r="I110" s="793"/>
      <c r="J110" s="793"/>
      <c r="K110" s="793"/>
      <c r="L110" s="793"/>
      <c r="M110" s="793"/>
      <c r="N110" s="794"/>
      <c r="O110" s="794"/>
      <c r="P110" s="793"/>
    </row>
    <row r="111" spans="2:16">
      <c r="B111" s="793"/>
      <c r="C111" s="793"/>
      <c r="D111" s="793"/>
      <c r="E111" s="793"/>
      <c r="F111" s="793"/>
      <c r="G111" s="793"/>
      <c r="H111" s="793"/>
      <c r="I111" s="793"/>
      <c r="J111" s="793"/>
      <c r="K111" s="793"/>
      <c r="L111" s="793"/>
      <c r="M111" s="793"/>
      <c r="N111" s="794"/>
      <c r="O111" s="794"/>
      <c r="P111" s="793"/>
    </row>
    <row r="112" spans="2:16">
      <c r="B112" s="793"/>
      <c r="C112" s="793"/>
      <c r="D112" s="793"/>
      <c r="E112" s="793"/>
      <c r="F112" s="793"/>
      <c r="G112" s="793"/>
      <c r="H112" s="793"/>
      <c r="I112" s="793"/>
      <c r="J112" s="793"/>
      <c r="K112" s="793"/>
      <c r="L112" s="793"/>
      <c r="M112" s="793"/>
      <c r="N112" s="794"/>
      <c r="O112" s="794"/>
      <c r="P112" s="793"/>
    </row>
    <row r="113" spans="2:16">
      <c r="B113" s="793"/>
      <c r="C113" s="793"/>
      <c r="D113" s="793"/>
      <c r="E113" s="793"/>
      <c r="F113" s="793"/>
      <c r="G113" s="793"/>
      <c r="H113" s="793"/>
      <c r="I113" s="793"/>
      <c r="J113" s="793"/>
      <c r="K113" s="793"/>
      <c r="L113" s="793"/>
      <c r="M113" s="793"/>
      <c r="N113" s="794"/>
      <c r="O113" s="794"/>
      <c r="P113" s="793"/>
    </row>
    <row r="114" spans="2:16">
      <c r="B114" s="793"/>
      <c r="C114" s="793"/>
      <c r="D114" s="793"/>
      <c r="E114" s="793"/>
      <c r="F114" s="793"/>
      <c r="G114" s="793"/>
      <c r="H114" s="793"/>
      <c r="I114" s="793"/>
      <c r="J114" s="793"/>
      <c r="K114" s="793"/>
      <c r="L114" s="793"/>
      <c r="M114" s="793"/>
      <c r="N114" s="794"/>
      <c r="O114" s="794"/>
      <c r="P114" s="793"/>
    </row>
    <row r="115" spans="2:16">
      <c r="B115" s="793"/>
      <c r="C115" s="793"/>
      <c r="D115" s="793"/>
      <c r="E115" s="793"/>
      <c r="F115" s="793"/>
      <c r="G115" s="793"/>
      <c r="H115" s="793"/>
      <c r="I115" s="793"/>
      <c r="J115" s="793"/>
      <c r="K115" s="793"/>
      <c r="L115" s="793"/>
      <c r="M115" s="793"/>
      <c r="N115" s="794"/>
      <c r="O115" s="794"/>
      <c r="P115" s="793"/>
    </row>
    <row r="116" spans="2:16">
      <c r="B116" s="793"/>
      <c r="C116" s="793"/>
      <c r="D116" s="793"/>
      <c r="E116" s="793"/>
      <c r="F116" s="793"/>
      <c r="G116" s="793"/>
      <c r="H116" s="793"/>
      <c r="I116" s="793"/>
      <c r="J116" s="793"/>
      <c r="K116" s="793"/>
      <c r="L116" s="793"/>
      <c r="M116" s="793"/>
      <c r="N116" s="794"/>
      <c r="O116" s="794"/>
      <c r="P116" s="793"/>
    </row>
    <row r="117" spans="2:16">
      <c r="B117" s="793"/>
      <c r="C117" s="793"/>
      <c r="D117" s="793"/>
      <c r="E117" s="793"/>
      <c r="F117" s="793"/>
      <c r="G117" s="793"/>
      <c r="H117" s="793"/>
      <c r="I117" s="793"/>
      <c r="J117" s="793"/>
      <c r="K117" s="793"/>
      <c r="L117" s="793"/>
      <c r="M117" s="793"/>
      <c r="N117" s="794"/>
      <c r="O117" s="794"/>
      <c r="P117" s="793"/>
    </row>
    <row r="118" spans="2:16">
      <c r="B118" s="793"/>
      <c r="C118" s="793"/>
      <c r="D118" s="793"/>
      <c r="E118" s="793"/>
      <c r="F118" s="793"/>
      <c r="G118" s="793"/>
      <c r="H118" s="793"/>
      <c r="I118" s="793"/>
      <c r="J118" s="793"/>
      <c r="K118" s="793"/>
      <c r="L118" s="793"/>
      <c r="M118" s="793"/>
      <c r="N118" s="794"/>
      <c r="O118" s="794"/>
      <c r="P118" s="793"/>
    </row>
    <row r="119" spans="2:16">
      <c r="B119" s="793"/>
      <c r="C119" s="793"/>
      <c r="D119" s="793"/>
      <c r="E119" s="793"/>
      <c r="F119" s="793"/>
      <c r="G119" s="793"/>
      <c r="H119" s="793"/>
      <c r="I119" s="793"/>
      <c r="J119" s="793"/>
      <c r="K119" s="793"/>
      <c r="L119" s="793"/>
      <c r="M119" s="793"/>
      <c r="N119" s="794"/>
      <c r="O119" s="794"/>
      <c r="P119" s="793"/>
    </row>
    <row r="120" spans="2:16">
      <c r="B120" s="793"/>
      <c r="C120" s="793"/>
      <c r="D120" s="793"/>
      <c r="E120" s="793"/>
      <c r="F120" s="793"/>
      <c r="G120" s="793"/>
      <c r="H120" s="793"/>
      <c r="I120" s="793"/>
      <c r="J120" s="793"/>
      <c r="K120" s="793"/>
      <c r="L120" s="793"/>
      <c r="M120" s="793"/>
      <c r="N120" s="794"/>
      <c r="O120" s="794"/>
      <c r="P120" s="793"/>
    </row>
    <row r="121" spans="2:16">
      <c r="B121" s="793"/>
      <c r="C121" s="793"/>
      <c r="D121" s="793"/>
      <c r="E121" s="793"/>
      <c r="F121" s="793"/>
      <c r="G121" s="793"/>
      <c r="H121" s="793"/>
      <c r="I121" s="793"/>
      <c r="J121" s="793"/>
      <c r="K121" s="793"/>
      <c r="L121" s="793"/>
      <c r="M121" s="793"/>
      <c r="N121" s="794"/>
      <c r="O121" s="794"/>
      <c r="P121" s="793"/>
    </row>
    <row r="122" spans="2:16">
      <c r="B122" s="793"/>
      <c r="C122" s="793"/>
      <c r="D122" s="793"/>
      <c r="E122" s="793"/>
      <c r="F122" s="793"/>
      <c r="G122" s="793"/>
      <c r="H122" s="793"/>
      <c r="I122" s="793"/>
      <c r="J122" s="793"/>
      <c r="K122" s="793"/>
      <c r="L122" s="793"/>
      <c r="M122" s="793"/>
      <c r="N122" s="794"/>
      <c r="O122" s="794"/>
      <c r="P122" s="793"/>
    </row>
    <row r="123" spans="2:16">
      <c r="B123" s="793"/>
      <c r="C123" s="793"/>
      <c r="D123" s="793"/>
      <c r="E123" s="793"/>
      <c r="F123" s="793"/>
      <c r="G123" s="793"/>
      <c r="H123" s="793"/>
      <c r="I123" s="793"/>
      <c r="J123" s="793"/>
      <c r="K123" s="793"/>
      <c r="L123" s="793"/>
      <c r="M123" s="793"/>
      <c r="N123" s="794"/>
      <c r="O123" s="794"/>
      <c r="P123" s="793"/>
    </row>
    <row r="124" spans="2:16">
      <c r="B124" s="793"/>
      <c r="C124" s="793"/>
      <c r="D124" s="793"/>
      <c r="E124" s="793"/>
      <c r="F124" s="793"/>
      <c r="G124" s="793"/>
      <c r="H124" s="793"/>
      <c r="I124" s="793"/>
      <c r="J124" s="793"/>
      <c r="K124" s="793"/>
      <c r="L124" s="793"/>
      <c r="M124" s="793"/>
      <c r="N124" s="794"/>
      <c r="O124" s="794"/>
      <c r="P124" s="793"/>
    </row>
    <row r="125" spans="2:16">
      <c r="B125" s="793"/>
      <c r="C125" s="793"/>
      <c r="D125" s="793"/>
      <c r="E125" s="793"/>
      <c r="F125" s="793"/>
      <c r="G125" s="793"/>
      <c r="H125" s="793"/>
      <c r="I125" s="793"/>
      <c r="J125" s="793"/>
      <c r="K125" s="793"/>
      <c r="L125" s="793"/>
      <c r="M125" s="793"/>
      <c r="N125" s="794"/>
      <c r="O125" s="794"/>
      <c r="P125" s="793"/>
    </row>
    <row r="126" spans="2:16">
      <c r="B126" s="793"/>
      <c r="C126" s="793"/>
      <c r="D126" s="793"/>
      <c r="E126" s="793"/>
      <c r="F126" s="793"/>
      <c r="G126" s="793"/>
      <c r="H126" s="793"/>
      <c r="I126" s="793"/>
      <c r="J126" s="793"/>
      <c r="K126" s="793"/>
      <c r="L126" s="793"/>
      <c r="M126" s="793"/>
      <c r="N126" s="794"/>
      <c r="O126" s="794"/>
      <c r="P126" s="793"/>
    </row>
    <row r="127" spans="2:16">
      <c r="B127" s="793"/>
      <c r="C127" s="793"/>
      <c r="D127" s="793"/>
      <c r="E127" s="793"/>
      <c r="F127" s="793"/>
      <c r="G127" s="793"/>
      <c r="H127" s="793"/>
      <c r="I127" s="793"/>
      <c r="J127" s="793"/>
      <c r="K127" s="793"/>
      <c r="L127" s="793"/>
      <c r="M127" s="793"/>
      <c r="N127" s="794"/>
      <c r="O127" s="794"/>
      <c r="P127" s="793"/>
    </row>
    <row r="128" spans="2:16">
      <c r="B128" s="793"/>
      <c r="C128" s="793"/>
      <c r="D128" s="793"/>
      <c r="E128" s="793"/>
      <c r="F128" s="793"/>
      <c r="G128" s="793"/>
      <c r="H128" s="793"/>
      <c r="I128" s="793"/>
      <c r="J128" s="793"/>
      <c r="K128" s="793"/>
      <c r="L128" s="793"/>
      <c r="M128" s="793"/>
      <c r="N128" s="794"/>
      <c r="O128" s="794"/>
      <c r="P128" s="793"/>
    </row>
    <row r="129" spans="2:16">
      <c r="B129" s="793"/>
      <c r="C129" s="793"/>
      <c r="D129" s="793"/>
      <c r="E129" s="793"/>
      <c r="F129" s="793"/>
      <c r="G129" s="793"/>
      <c r="H129" s="793"/>
      <c r="I129" s="793"/>
      <c r="J129" s="793"/>
      <c r="K129" s="793"/>
      <c r="L129" s="793"/>
      <c r="M129" s="793"/>
      <c r="N129" s="794"/>
      <c r="O129" s="794"/>
      <c r="P129" s="793"/>
    </row>
    <row r="130" spans="2:16">
      <c r="B130" s="793"/>
      <c r="C130" s="793"/>
      <c r="D130" s="793"/>
      <c r="E130" s="793"/>
      <c r="F130" s="793"/>
      <c r="G130" s="793"/>
      <c r="H130" s="793"/>
      <c r="I130" s="793"/>
      <c r="J130" s="793"/>
      <c r="K130" s="793"/>
      <c r="L130" s="793"/>
      <c r="M130" s="793"/>
      <c r="N130" s="794"/>
      <c r="O130" s="794"/>
      <c r="P130" s="793"/>
    </row>
    <row r="131" spans="2:16">
      <c r="B131" s="793"/>
      <c r="C131" s="793"/>
      <c r="D131" s="793"/>
      <c r="E131" s="793"/>
      <c r="F131" s="793"/>
      <c r="G131" s="793"/>
      <c r="H131" s="793"/>
      <c r="I131" s="793"/>
      <c r="J131" s="793"/>
      <c r="K131" s="793"/>
      <c r="L131" s="793"/>
      <c r="M131" s="793"/>
      <c r="N131" s="794"/>
      <c r="O131" s="794"/>
      <c r="P131" s="793"/>
    </row>
    <row r="132" spans="2:16">
      <c r="B132" s="793"/>
      <c r="C132" s="793"/>
      <c r="D132" s="793"/>
      <c r="E132" s="793"/>
      <c r="F132" s="793"/>
      <c r="G132" s="793"/>
      <c r="H132" s="793"/>
      <c r="I132" s="793"/>
      <c r="J132" s="793"/>
      <c r="K132" s="793"/>
      <c r="L132" s="793"/>
      <c r="M132" s="793"/>
      <c r="N132" s="794"/>
      <c r="O132" s="794"/>
      <c r="P132" s="793"/>
    </row>
    <row r="133" spans="2:16">
      <c r="B133" s="793"/>
      <c r="C133" s="793"/>
      <c r="D133" s="793"/>
      <c r="E133" s="793"/>
      <c r="F133" s="793"/>
      <c r="G133" s="793"/>
      <c r="H133" s="793"/>
      <c r="I133" s="793"/>
      <c r="J133" s="793"/>
      <c r="K133" s="793"/>
      <c r="L133" s="793"/>
      <c r="M133" s="793"/>
      <c r="N133" s="794"/>
      <c r="O133" s="794"/>
      <c r="P133" s="793"/>
    </row>
    <row r="134" spans="2:16">
      <c r="B134" s="793"/>
      <c r="C134" s="793"/>
      <c r="D134" s="793"/>
      <c r="E134" s="793"/>
      <c r="F134" s="793"/>
      <c r="G134" s="793"/>
      <c r="H134" s="793"/>
      <c r="I134" s="793"/>
      <c r="J134" s="793"/>
      <c r="K134" s="793"/>
      <c r="L134" s="793"/>
      <c r="M134" s="793"/>
      <c r="N134" s="794"/>
      <c r="O134" s="794"/>
      <c r="P134" s="793"/>
    </row>
    <row r="135" spans="2:16">
      <c r="B135" s="793"/>
      <c r="C135" s="793"/>
      <c r="D135" s="793"/>
      <c r="E135" s="793"/>
      <c r="F135" s="793"/>
      <c r="G135" s="793"/>
      <c r="H135" s="793"/>
      <c r="I135" s="793"/>
      <c r="J135" s="793"/>
      <c r="K135" s="793"/>
      <c r="L135" s="793"/>
      <c r="M135" s="793"/>
      <c r="N135" s="794"/>
      <c r="O135" s="794"/>
      <c r="P135" s="793"/>
    </row>
    <row r="136" spans="2:16">
      <c r="B136" s="793"/>
      <c r="C136" s="793"/>
      <c r="D136" s="793"/>
      <c r="E136" s="793"/>
      <c r="F136" s="793"/>
      <c r="G136" s="793"/>
      <c r="H136" s="793"/>
      <c r="I136" s="793"/>
      <c r="J136" s="793"/>
      <c r="K136" s="793"/>
      <c r="L136" s="793"/>
      <c r="M136" s="793"/>
      <c r="N136" s="794"/>
      <c r="O136" s="794"/>
      <c r="P136" s="793"/>
    </row>
    <row r="137" spans="2:16">
      <c r="B137" s="793"/>
      <c r="C137" s="793"/>
      <c r="D137" s="793"/>
      <c r="E137" s="793"/>
      <c r="F137" s="793"/>
      <c r="G137" s="793"/>
      <c r="H137" s="793"/>
      <c r="I137" s="793"/>
      <c r="J137" s="793"/>
      <c r="K137" s="793"/>
      <c r="L137" s="793"/>
      <c r="M137" s="793"/>
      <c r="N137" s="794"/>
      <c r="O137" s="794"/>
      <c r="P137" s="793"/>
    </row>
    <row r="138" spans="2:16">
      <c r="B138" s="793"/>
      <c r="C138" s="793"/>
      <c r="D138" s="793"/>
      <c r="E138" s="793"/>
      <c r="F138" s="793"/>
      <c r="G138" s="793"/>
      <c r="H138" s="793"/>
      <c r="I138" s="793"/>
      <c r="J138" s="793"/>
      <c r="K138" s="793"/>
      <c r="L138" s="793"/>
      <c r="M138" s="793"/>
      <c r="N138" s="794"/>
      <c r="O138" s="794"/>
      <c r="P138" s="793"/>
    </row>
    <row r="139" spans="2:16">
      <c r="B139" s="793"/>
      <c r="C139" s="793"/>
      <c r="D139" s="793"/>
      <c r="E139" s="793"/>
      <c r="F139" s="793"/>
      <c r="G139" s="793"/>
      <c r="H139" s="793"/>
      <c r="I139" s="793"/>
      <c r="J139" s="793"/>
      <c r="K139" s="793"/>
      <c r="L139" s="793"/>
      <c r="M139" s="793"/>
      <c r="N139" s="794"/>
      <c r="O139" s="794"/>
      <c r="P139" s="793"/>
    </row>
    <row r="140" spans="2:16">
      <c r="B140" s="793"/>
      <c r="C140" s="793"/>
      <c r="D140" s="793"/>
      <c r="E140" s="793"/>
      <c r="F140" s="793"/>
      <c r="G140" s="793"/>
      <c r="H140" s="793"/>
      <c r="I140" s="793"/>
      <c r="J140" s="793"/>
      <c r="K140" s="793"/>
      <c r="L140" s="793"/>
      <c r="M140" s="793"/>
      <c r="N140" s="794"/>
      <c r="O140" s="794"/>
      <c r="P140" s="793"/>
    </row>
    <row r="141" spans="2:16">
      <c r="B141" s="793"/>
      <c r="C141" s="793"/>
      <c r="D141" s="793"/>
      <c r="E141" s="793"/>
      <c r="F141" s="793"/>
      <c r="G141" s="793"/>
      <c r="H141" s="793"/>
      <c r="I141" s="793"/>
      <c r="J141" s="793"/>
      <c r="K141" s="793"/>
      <c r="L141" s="793"/>
      <c r="M141" s="793"/>
      <c r="N141" s="794"/>
      <c r="O141" s="794"/>
      <c r="P141" s="793"/>
    </row>
    <row r="142" spans="2:16">
      <c r="B142" s="793"/>
      <c r="C142" s="793"/>
      <c r="D142" s="793"/>
      <c r="E142" s="793"/>
      <c r="F142" s="793"/>
      <c r="G142" s="793"/>
      <c r="H142" s="793"/>
      <c r="I142" s="793"/>
      <c r="J142" s="793"/>
      <c r="K142" s="793"/>
      <c r="L142" s="793"/>
      <c r="M142" s="793"/>
      <c r="N142" s="794"/>
      <c r="O142" s="794"/>
      <c r="P142" s="793"/>
    </row>
    <row r="143" spans="2:16">
      <c r="B143" s="793"/>
      <c r="C143" s="793"/>
      <c r="D143" s="793"/>
      <c r="E143" s="793"/>
      <c r="F143" s="793"/>
      <c r="G143" s="793"/>
      <c r="H143" s="793"/>
      <c r="I143" s="793"/>
      <c r="J143" s="793"/>
      <c r="K143" s="793"/>
      <c r="L143" s="793"/>
      <c r="M143" s="793"/>
      <c r="N143" s="794"/>
      <c r="O143" s="794"/>
      <c r="P143" s="793"/>
    </row>
    <row r="144" spans="2:16">
      <c r="B144" s="793"/>
      <c r="C144" s="793"/>
      <c r="D144" s="793"/>
      <c r="E144" s="793"/>
      <c r="F144" s="793"/>
      <c r="G144" s="793"/>
      <c r="H144" s="793"/>
      <c r="I144" s="793"/>
      <c r="J144" s="793"/>
      <c r="K144" s="793"/>
      <c r="L144" s="793"/>
      <c r="M144" s="793"/>
      <c r="N144" s="794"/>
      <c r="O144" s="794"/>
      <c r="P144" s="793"/>
    </row>
    <row r="145" spans="2:16">
      <c r="B145" s="793"/>
      <c r="C145" s="793"/>
      <c r="D145" s="793"/>
      <c r="E145" s="793"/>
      <c r="F145" s="793"/>
      <c r="G145" s="793"/>
      <c r="H145" s="793"/>
      <c r="I145" s="793"/>
      <c r="J145" s="793"/>
      <c r="K145" s="793"/>
      <c r="L145" s="793"/>
      <c r="M145" s="793"/>
      <c r="N145" s="794"/>
      <c r="O145" s="794"/>
      <c r="P145" s="793"/>
    </row>
    <row r="146" spans="2:16">
      <c r="B146" s="793"/>
      <c r="C146" s="793"/>
      <c r="D146" s="793"/>
      <c r="E146" s="793"/>
      <c r="F146" s="793"/>
      <c r="G146" s="793"/>
      <c r="H146" s="793"/>
      <c r="I146" s="793"/>
      <c r="J146" s="793"/>
      <c r="K146" s="793"/>
      <c r="L146" s="793"/>
      <c r="M146" s="793"/>
      <c r="N146" s="794"/>
      <c r="O146" s="794"/>
      <c r="P146" s="793"/>
    </row>
    <row r="147" spans="2:16">
      <c r="B147" s="793"/>
      <c r="C147" s="793"/>
      <c r="D147" s="793"/>
      <c r="E147" s="793"/>
      <c r="F147" s="793"/>
      <c r="G147" s="793"/>
      <c r="H147" s="793"/>
      <c r="I147" s="793"/>
      <c r="J147" s="793"/>
      <c r="K147" s="793"/>
      <c r="L147" s="793"/>
      <c r="M147" s="793"/>
      <c r="N147" s="794"/>
      <c r="O147" s="794"/>
      <c r="P147" s="793"/>
    </row>
    <row r="148" spans="2:16">
      <c r="B148" s="793"/>
      <c r="C148" s="793"/>
      <c r="D148" s="793"/>
      <c r="E148" s="793"/>
      <c r="F148" s="793"/>
      <c r="G148" s="793"/>
      <c r="H148" s="793"/>
      <c r="I148" s="793"/>
      <c r="J148" s="793"/>
      <c r="K148" s="793"/>
      <c r="L148" s="793"/>
      <c r="M148" s="793"/>
      <c r="N148" s="794"/>
      <c r="O148" s="794"/>
      <c r="P148" s="793"/>
    </row>
    <row r="149" spans="2:16">
      <c r="B149" s="793"/>
      <c r="C149" s="793"/>
      <c r="D149" s="793"/>
      <c r="E149" s="793"/>
      <c r="F149" s="793"/>
      <c r="G149" s="793"/>
      <c r="H149" s="793"/>
      <c r="I149" s="793"/>
      <c r="J149" s="793"/>
      <c r="K149" s="793"/>
      <c r="L149" s="793"/>
      <c r="M149" s="793"/>
      <c r="N149" s="794"/>
      <c r="O149" s="794"/>
      <c r="P149" s="793"/>
    </row>
    <row r="150" spans="2:16">
      <c r="B150" s="793"/>
      <c r="C150" s="793"/>
      <c r="D150" s="793"/>
      <c r="E150" s="793"/>
      <c r="F150" s="793"/>
      <c r="G150" s="793"/>
      <c r="H150" s="793"/>
      <c r="I150" s="793"/>
      <c r="J150" s="793"/>
      <c r="K150" s="793"/>
      <c r="L150" s="793"/>
      <c r="M150" s="793"/>
      <c r="N150" s="794"/>
      <c r="O150" s="794"/>
      <c r="P150" s="793"/>
    </row>
    <row r="151" spans="2:16">
      <c r="B151" s="793"/>
      <c r="C151" s="793"/>
      <c r="D151" s="793"/>
      <c r="E151" s="793"/>
      <c r="F151" s="793"/>
      <c r="G151" s="793"/>
      <c r="H151" s="793"/>
      <c r="I151" s="793"/>
      <c r="J151" s="793"/>
      <c r="K151" s="793"/>
      <c r="L151" s="793"/>
      <c r="M151" s="793"/>
      <c r="N151" s="794"/>
      <c r="O151" s="794"/>
      <c r="P151" s="793"/>
    </row>
    <row r="152" spans="2:16">
      <c r="B152" s="793"/>
      <c r="C152" s="793"/>
      <c r="D152" s="793"/>
      <c r="E152" s="793"/>
      <c r="F152" s="793"/>
      <c r="G152" s="793"/>
      <c r="H152" s="793"/>
      <c r="I152" s="793"/>
      <c r="J152" s="793"/>
      <c r="K152" s="793"/>
      <c r="L152" s="793"/>
      <c r="M152" s="793"/>
      <c r="N152" s="794"/>
      <c r="O152" s="794"/>
      <c r="P152" s="793"/>
    </row>
    <row r="153" spans="2:16">
      <c r="B153" s="793"/>
      <c r="C153" s="793"/>
      <c r="D153" s="793"/>
      <c r="E153" s="793"/>
      <c r="F153" s="793"/>
      <c r="G153" s="793"/>
      <c r="H153" s="793"/>
      <c r="I153" s="793"/>
      <c r="J153" s="793"/>
      <c r="K153" s="793"/>
      <c r="L153" s="793"/>
      <c r="M153" s="793"/>
      <c r="N153" s="794"/>
      <c r="O153" s="794"/>
      <c r="P153" s="793"/>
    </row>
    <row r="154" spans="2:16">
      <c r="B154" s="793"/>
      <c r="C154" s="793"/>
      <c r="D154" s="793"/>
      <c r="E154" s="793"/>
      <c r="F154" s="793"/>
      <c r="G154" s="793"/>
      <c r="H154" s="793"/>
      <c r="I154" s="793"/>
      <c r="J154" s="793"/>
      <c r="K154" s="793"/>
      <c r="L154" s="793"/>
      <c r="M154" s="793"/>
      <c r="N154" s="794"/>
      <c r="O154" s="794"/>
      <c r="P154" s="793"/>
    </row>
    <row r="155" spans="2:16">
      <c r="B155" s="793"/>
      <c r="C155" s="793"/>
      <c r="D155" s="793"/>
      <c r="E155" s="793"/>
      <c r="F155" s="793"/>
      <c r="G155" s="793"/>
      <c r="H155" s="793"/>
      <c r="I155" s="793"/>
      <c r="J155" s="793"/>
      <c r="K155" s="793"/>
      <c r="L155" s="793"/>
      <c r="M155" s="793"/>
      <c r="N155" s="794"/>
      <c r="O155" s="794"/>
      <c r="P155" s="793"/>
    </row>
    <row r="156" spans="2:16">
      <c r="B156" s="793"/>
      <c r="C156" s="793"/>
      <c r="D156" s="793"/>
      <c r="E156" s="793"/>
      <c r="F156" s="793"/>
      <c r="G156" s="793"/>
      <c r="H156" s="793"/>
      <c r="I156" s="793"/>
      <c r="J156" s="793"/>
      <c r="K156" s="793"/>
      <c r="L156" s="793"/>
      <c r="M156" s="793"/>
      <c r="N156" s="794"/>
      <c r="O156" s="794"/>
      <c r="P156" s="793"/>
    </row>
    <row r="157" spans="2:16">
      <c r="B157" s="793"/>
      <c r="C157" s="793"/>
      <c r="D157" s="793"/>
      <c r="E157" s="793"/>
      <c r="F157" s="793"/>
      <c r="G157" s="793"/>
      <c r="H157" s="793"/>
      <c r="I157" s="793"/>
      <c r="J157" s="793"/>
      <c r="K157" s="793"/>
      <c r="L157" s="793"/>
      <c r="M157" s="793"/>
      <c r="N157" s="794"/>
      <c r="O157" s="794"/>
      <c r="P157" s="793"/>
    </row>
    <row r="158" spans="2:16">
      <c r="B158" s="793"/>
      <c r="C158" s="793"/>
      <c r="D158" s="793"/>
      <c r="E158" s="793"/>
      <c r="F158" s="793"/>
      <c r="G158" s="793"/>
      <c r="H158" s="793"/>
      <c r="I158" s="793"/>
      <c r="J158" s="793"/>
      <c r="K158" s="793"/>
      <c r="L158" s="793"/>
      <c r="M158" s="793"/>
      <c r="N158" s="794"/>
      <c r="O158" s="794"/>
      <c r="P158" s="793"/>
    </row>
    <row r="159" spans="2:16">
      <c r="B159" s="793"/>
      <c r="C159" s="793"/>
      <c r="D159" s="793"/>
      <c r="E159" s="793"/>
      <c r="F159" s="793"/>
      <c r="G159" s="793"/>
      <c r="H159" s="793"/>
      <c r="I159" s="793"/>
      <c r="J159" s="793"/>
      <c r="K159" s="793"/>
      <c r="L159" s="793"/>
      <c r="M159" s="793"/>
      <c r="N159" s="794"/>
      <c r="O159" s="794"/>
      <c r="P159" s="793"/>
    </row>
    <row r="160" spans="2:16">
      <c r="B160" s="793"/>
      <c r="C160" s="793"/>
      <c r="D160" s="793"/>
      <c r="E160" s="793"/>
      <c r="F160" s="793"/>
      <c r="G160" s="793"/>
      <c r="H160" s="793"/>
      <c r="I160" s="793"/>
      <c r="J160" s="793"/>
      <c r="K160" s="793"/>
      <c r="L160" s="793"/>
      <c r="M160" s="793"/>
      <c r="N160" s="794"/>
      <c r="O160" s="794"/>
      <c r="P160" s="793"/>
    </row>
    <row r="161" spans="2:16">
      <c r="B161" s="793"/>
      <c r="C161" s="793"/>
      <c r="D161" s="793"/>
      <c r="E161" s="793"/>
      <c r="F161" s="793"/>
      <c r="G161" s="793"/>
      <c r="H161" s="793"/>
      <c r="I161" s="793"/>
      <c r="J161" s="793"/>
      <c r="K161" s="793"/>
      <c r="L161" s="793"/>
      <c r="M161" s="793"/>
      <c r="N161" s="794"/>
      <c r="O161" s="794"/>
      <c r="P161" s="793"/>
    </row>
    <row r="162" spans="2:16">
      <c r="B162" s="793"/>
      <c r="C162" s="793"/>
      <c r="D162" s="793"/>
      <c r="E162" s="793"/>
      <c r="F162" s="793"/>
      <c r="G162" s="793"/>
      <c r="H162" s="793"/>
      <c r="I162" s="793"/>
      <c r="J162" s="793"/>
      <c r="K162" s="793"/>
      <c r="L162" s="793"/>
      <c r="M162" s="793"/>
      <c r="N162" s="794"/>
      <c r="O162" s="794"/>
      <c r="P162" s="793"/>
    </row>
    <row r="163" spans="2:16">
      <c r="B163" s="793"/>
      <c r="C163" s="793"/>
      <c r="D163" s="793"/>
      <c r="E163" s="793"/>
      <c r="F163" s="793"/>
      <c r="G163" s="793"/>
      <c r="H163" s="793"/>
      <c r="I163" s="793"/>
      <c r="J163" s="793"/>
      <c r="K163" s="793"/>
      <c r="L163" s="793"/>
      <c r="M163" s="793"/>
      <c r="N163" s="794"/>
      <c r="O163" s="794"/>
      <c r="P163" s="793"/>
    </row>
    <row r="164" spans="2:16">
      <c r="B164" s="793"/>
      <c r="C164" s="793"/>
      <c r="D164" s="793"/>
      <c r="E164" s="793"/>
      <c r="F164" s="793"/>
      <c r="G164" s="793"/>
      <c r="H164" s="793"/>
      <c r="I164" s="793"/>
      <c r="J164" s="793"/>
      <c r="K164" s="793"/>
      <c r="L164" s="793"/>
      <c r="M164" s="793"/>
      <c r="N164" s="794"/>
      <c r="O164" s="794"/>
      <c r="P164" s="793"/>
    </row>
    <row r="165" spans="2:16">
      <c r="B165" s="793"/>
      <c r="C165" s="793"/>
      <c r="D165" s="793"/>
      <c r="E165" s="793"/>
      <c r="F165" s="793"/>
      <c r="G165" s="793"/>
      <c r="H165" s="793"/>
      <c r="I165" s="793"/>
      <c r="J165" s="793"/>
      <c r="K165" s="793"/>
      <c r="L165" s="793"/>
      <c r="M165" s="793"/>
      <c r="N165" s="794"/>
      <c r="O165" s="794"/>
      <c r="P165" s="793"/>
    </row>
    <row r="166" spans="2:16">
      <c r="B166" s="793"/>
      <c r="C166" s="793"/>
      <c r="D166" s="793"/>
      <c r="E166" s="793"/>
      <c r="F166" s="793"/>
      <c r="G166" s="793"/>
      <c r="H166" s="793"/>
      <c r="I166" s="793"/>
      <c r="J166" s="793"/>
      <c r="K166" s="793"/>
      <c r="L166" s="793"/>
      <c r="M166" s="793"/>
      <c r="N166" s="794"/>
      <c r="O166" s="794"/>
      <c r="P166" s="793"/>
    </row>
    <row r="167" spans="2:16">
      <c r="B167" s="793"/>
      <c r="C167" s="793"/>
      <c r="D167" s="793"/>
      <c r="E167" s="793"/>
      <c r="F167" s="793"/>
      <c r="G167" s="793"/>
      <c r="H167" s="793"/>
      <c r="I167" s="793"/>
      <c r="J167" s="793"/>
      <c r="K167" s="793"/>
      <c r="L167" s="793"/>
      <c r="M167" s="793"/>
      <c r="N167" s="794"/>
      <c r="O167" s="794"/>
      <c r="P167" s="793"/>
    </row>
    <row r="168" spans="2:16">
      <c r="B168" s="793"/>
      <c r="C168" s="793"/>
      <c r="D168" s="793"/>
      <c r="E168" s="793"/>
      <c r="F168" s="793"/>
      <c r="G168" s="793"/>
      <c r="H168" s="793"/>
      <c r="I168" s="793"/>
      <c r="J168" s="793"/>
      <c r="K168" s="793"/>
      <c r="L168" s="793"/>
      <c r="M168" s="793"/>
      <c r="N168" s="794"/>
      <c r="O168" s="794"/>
      <c r="P168" s="793"/>
    </row>
    <row r="169" spans="2:16">
      <c r="B169" s="793"/>
      <c r="C169" s="793"/>
      <c r="D169" s="793"/>
      <c r="E169" s="793"/>
      <c r="F169" s="793"/>
      <c r="G169" s="793"/>
      <c r="H169" s="793"/>
      <c r="I169" s="793"/>
      <c r="J169" s="793"/>
      <c r="K169" s="793"/>
      <c r="L169" s="793"/>
      <c r="M169" s="793"/>
      <c r="N169" s="794"/>
      <c r="O169" s="794"/>
      <c r="P169" s="793"/>
    </row>
    <row r="170" spans="2:16">
      <c r="B170" s="793"/>
      <c r="C170" s="793"/>
      <c r="D170" s="793"/>
      <c r="E170" s="793"/>
      <c r="F170" s="793"/>
      <c r="G170" s="793"/>
      <c r="H170" s="793"/>
      <c r="I170" s="793"/>
      <c r="J170" s="793"/>
      <c r="K170" s="793"/>
      <c r="L170" s="793"/>
      <c r="M170" s="793"/>
      <c r="N170" s="794"/>
      <c r="O170" s="794"/>
      <c r="P170" s="793"/>
    </row>
    <row r="171" spans="2:16">
      <c r="B171" s="793"/>
      <c r="C171" s="793"/>
      <c r="D171" s="793"/>
      <c r="E171" s="793"/>
      <c r="F171" s="793"/>
      <c r="G171" s="793"/>
      <c r="H171" s="793"/>
      <c r="I171" s="793"/>
      <c r="J171" s="793"/>
      <c r="K171" s="793"/>
      <c r="L171" s="793"/>
      <c r="M171" s="793"/>
      <c r="N171" s="794"/>
      <c r="O171" s="794"/>
      <c r="P171" s="793"/>
    </row>
    <row r="172" spans="2:16">
      <c r="B172" s="793"/>
      <c r="C172" s="793"/>
      <c r="D172" s="793"/>
      <c r="E172" s="793"/>
      <c r="F172" s="793"/>
      <c r="G172" s="793"/>
      <c r="H172" s="793"/>
      <c r="I172" s="793"/>
      <c r="J172" s="793"/>
      <c r="K172" s="793"/>
      <c r="L172" s="793"/>
      <c r="M172" s="793"/>
      <c r="N172" s="794"/>
      <c r="O172" s="794"/>
      <c r="P172" s="793"/>
    </row>
    <row r="173" spans="2:16">
      <c r="B173" s="793"/>
      <c r="C173" s="793"/>
      <c r="D173" s="793"/>
      <c r="E173" s="793"/>
      <c r="F173" s="793"/>
      <c r="G173" s="793"/>
      <c r="H173" s="793"/>
      <c r="I173" s="793"/>
      <c r="J173" s="793"/>
      <c r="K173" s="793"/>
      <c r="L173" s="793"/>
      <c r="M173" s="793"/>
      <c r="N173" s="794"/>
      <c r="O173" s="794"/>
      <c r="P173" s="793"/>
    </row>
    <row r="174" spans="2:16">
      <c r="B174" s="793"/>
      <c r="C174" s="793"/>
      <c r="D174" s="793"/>
      <c r="E174" s="793"/>
      <c r="F174" s="793"/>
      <c r="G174" s="793"/>
      <c r="H174" s="793"/>
      <c r="I174" s="793"/>
      <c r="J174" s="793"/>
      <c r="K174" s="793"/>
      <c r="L174" s="793"/>
      <c r="M174" s="793"/>
      <c r="N174" s="794"/>
      <c r="O174" s="794"/>
      <c r="P174" s="793"/>
    </row>
    <row r="175" spans="2:16">
      <c r="B175" s="793"/>
      <c r="C175" s="793"/>
      <c r="D175" s="793"/>
      <c r="E175" s="793"/>
      <c r="F175" s="793"/>
      <c r="G175" s="793"/>
      <c r="H175" s="793"/>
      <c r="I175" s="793"/>
      <c r="J175" s="793"/>
      <c r="K175" s="793"/>
      <c r="L175" s="793"/>
      <c r="M175" s="793"/>
      <c r="N175" s="794"/>
      <c r="O175" s="794"/>
      <c r="P175" s="793"/>
    </row>
    <row r="176" spans="2:16">
      <c r="B176" s="793"/>
      <c r="C176" s="793"/>
      <c r="D176" s="793"/>
      <c r="E176" s="793"/>
      <c r="F176" s="793"/>
      <c r="G176" s="793"/>
      <c r="H176" s="793"/>
      <c r="I176" s="793"/>
      <c r="J176" s="793"/>
      <c r="K176" s="793"/>
      <c r="L176" s="793"/>
      <c r="M176" s="793"/>
      <c r="N176" s="794"/>
      <c r="O176" s="794"/>
      <c r="P176" s="793"/>
    </row>
    <row r="177" spans="2:16">
      <c r="B177" s="793"/>
      <c r="C177" s="793"/>
      <c r="D177" s="793"/>
      <c r="E177" s="793"/>
      <c r="F177" s="793"/>
      <c r="G177" s="793"/>
      <c r="H177" s="793"/>
      <c r="I177" s="793"/>
      <c r="J177" s="793"/>
      <c r="K177" s="793"/>
      <c r="L177" s="793"/>
      <c r="M177" s="793"/>
      <c r="N177" s="794"/>
      <c r="O177" s="794"/>
      <c r="P177" s="793"/>
    </row>
    <row r="178" spans="2:16">
      <c r="B178" s="793"/>
      <c r="C178" s="793"/>
      <c r="D178" s="793"/>
      <c r="E178" s="793"/>
      <c r="F178" s="793"/>
      <c r="G178" s="793"/>
      <c r="H178" s="793"/>
      <c r="I178" s="793"/>
      <c r="J178" s="793"/>
      <c r="K178" s="793"/>
      <c r="L178" s="793"/>
      <c r="M178" s="793"/>
      <c r="N178" s="794"/>
      <c r="O178" s="794"/>
      <c r="P178" s="793"/>
    </row>
    <row r="179" spans="2:16">
      <c r="B179" s="793"/>
      <c r="C179" s="793"/>
      <c r="D179" s="793"/>
      <c r="E179" s="793"/>
      <c r="F179" s="793"/>
      <c r="G179" s="793"/>
      <c r="H179" s="793"/>
      <c r="I179" s="793"/>
      <c r="J179" s="793"/>
      <c r="K179" s="793"/>
      <c r="L179" s="793"/>
      <c r="M179" s="793"/>
      <c r="N179" s="794"/>
      <c r="O179" s="794"/>
      <c r="P179" s="793"/>
    </row>
    <row r="180" spans="2:16">
      <c r="B180" s="793"/>
      <c r="C180" s="793"/>
      <c r="D180" s="793"/>
      <c r="E180" s="793"/>
      <c r="F180" s="793"/>
      <c r="G180" s="793"/>
      <c r="H180" s="793"/>
      <c r="I180" s="793"/>
      <c r="J180" s="793"/>
      <c r="K180" s="793"/>
      <c r="L180" s="793"/>
      <c r="M180" s="793"/>
      <c r="N180" s="794"/>
      <c r="O180" s="794"/>
      <c r="P180" s="793"/>
    </row>
    <row r="181" spans="2:16">
      <c r="B181" s="793"/>
      <c r="C181" s="793"/>
      <c r="D181" s="793"/>
      <c r="E181" s="793"/>
      <c r="F181" s="793"/>
      <c r="G181" s="793"/>
      <c r="H181" s="793"/>
      <c r="I181" s="793"/>
      <c r="J181" s="793"/>
      <c r="K181" s="793"/>
      <c r="L181" s="793"/>
      <c r="M181" s="793"/>
      <c r="N181" s="794"/>
      <c r="O181" s="794"/>
      <c r="P181" s="793"/>
    </row>
    <row r="182" spans="2:16">
      <c r="B182" s="793"/>
      <c r="C182" s="793"/>
      <c r="D182" s="793"/>
      <c r="E182" s="793"/>
      <c r="F182" s="793"/>
      <c r="G182" s="793"/>
      <c r="H182" s="793"/>
      <c r="I182" s="793"/>
      <c r="J182" s="793"/>
      <c r="K182" s="793"/>
      <c r="L182" s="793"/>
      <c r="M182" s="793"/>
      <c r="N182" s="794"/>
      <c r="O182" s="794"/>
      <c r="P182" s="793"/>
    </row>
    <row r="183" spans="2:16">
      <c r="B183" s="793"/>
      <c r="C183" s="793"/>
      <c r="D183" s="793"/>
      <c r="E183" s="793"/>
      <c r="F183" s="793"/>
      <c r="G183" s="793"/>
      <c r="H183" s="793"/>
      <c r="I183" s="793"/>
      <c r="J183" s="793"/>
      <c r="K183" s="793"/>
      <c r="L183" s="793"/>
      <c r="M183" s="793"/>
      <c r="N183" s="794"/>
      <c r="O183" s="794"/>
      <c r="P183" s="793"/>
    </row>
    <row r="184" spans="2:16">
      <c r="B184" s="793"/>
      <c r="C184" s="793"/>
      <c r="D184" s="793"/>
      <c r="E184" s="793"/>
      <c r="F184" s="793"/>
      <c r="G184" s="793"/>
      <c r="H184" s="793"/>
      <c r="I184" s="793"/>
      <c r="J184" s="793"/>
      <c r="K184" s="793"/>
      <c r="L184" s="793"/>
      <c r="M184" s="793"/>
      <c r="N184" s="794"/>
      <c r="O184" s="794"/>
      <c r="P184" s="793"/>
    </row>
    <row r="185" spans="2:16">
      <c r="B185" s="793"/>
      <c r="C185" s="793"/>
      <c r="D185" s="793"/>
      <c r="E185" s="793"/>
      <c r="F185" s="793"/>
      <c r="G185" s="793"/>
      <c r="H185" s="793"/>
      <c r="I185" s="793"/>
      <c r="J185" s="793"/>
      <c r="K185" s="793"/>
      <c r="L185" s="793"/>
      <c r="M185" s="793"/>
      <c r="N185" s="794"/>
      <c r="O185" s="794"/>
      <c r="P185" s="793"/>
    </row>
    <row r="186" spans="2:16">
      <c r="B186" s="793"/>
      <c r="C186" s="793"/>
      <c r="D186" s="793"/>
      <c r="E186" s="793"/>
      <c r="F186" s="793"/>
      <c r="G186" s="793"/>
      <c r="H186" s="793"/>
      <c r="I186" s="793"/>
      <c r="J186" s="793"/>
      <c r="K186" s="793"/>
      <c r="L186" s="793"/>
      <c r="M186" s="793"/>
      <c r="N186" s="794"/>
      <c r="O186" s="794"/>
      <c r="P186" s="793"/>
    </row>
    <row r="187" spans="2:16">
      <c r="B187" s="793"/>
      <c r="C187" s="793"/>
      <c r="D187" s="793"/>
      <c r="E187" s="793"/>
      <c r="F187" s="793"/>
      <c r="G187" s="793"/>
      <c r="H187" s="793"/>
      <c r="I187" s="793"/>
      <c r="J187" s="793"/>
      <c r="K187" s="793"/>
      <c r="L187" s="793"/>
      <c r="M187" s="793"/>
      <c r="N187" s="794"/>
      <c r="O187" s="794"/>
      <c r="P187" s="793"/>
    </row>
    <row r="188" spans="2:16">
      <c r="B188" s="793"/>
      <c r="C188" s="793"/>
      <c r="D188" s="793"/>
      <c r="E188" s="793"/>
      <c r="F188" s="793"/>
      <c r="G188" s="793"/>
      <c r="H188" s="793"/>
      <c r="I188" s="793"/>
      <c r="J188" s="793"/>
      <c r="K188" s="793"/>
      <c r="L188" s="793"/>
      <c r="M188" s="793"/>
      <c r="N188" s="794"/>
      <c r="O188" s="794"/>
      <c r="P188" s="793"/>
    </row>
    <row r="189" spans="2:16">
      <c r="B189" s="793"/>
      <c r="C189" s="793"/>
      <c r="D189" s="793"/>
      <c r="E189" s="793"/>
      <c r="F189" s="793"/>
      <c r="G189" s="793"/>
      <c r="H189" s="793"/>
      <c r="I189" s="793"/>
      <c r="J189" s="793"/>
      <c r="K189" s="793"/>
      <c r="L189" s="793"/>
      <c r="M189" s="793"/>
      <c r="N189" s="794"/>
      <c r="O189" s="794"/>
      <c r="P189" s="793"/>
    </row>
    <row r="190" spans="2:16">
      <c r="B190" s="793"/>
      <c r="C190" s="793"/>
      <c r="D190" s="793"/>
      <c r="E190" s="793"/>
      <c r="F190" s="793"/>
      <c r="G190" s="793"/>
      <c r="H190" s="793"/>
      <c r="I190" s="793"/>
      <c r="J190" s="793"/>
      <c r="K190" s="793"/>
      <c r="L190" s="793"/>
      <c r="M190" s="793"/>
      <c r="N190" s="794"/>
      <c r="O190" s="794"/>
      <c r="P190" s="793"/>
    </row>
    <row r="191" spans="2:16">
      <c r="B191" s="793"/>
      <c r="C191" s="793"/>
      <c r="D191" s="793"/>
      <c r="E191" s="793"/>
      <c r="F191" s="793"/>
      <c r="G191" s="793"/>
      <c r="H191" s="793"/>
      <c r="I191" s="793"/>
      <c r="J191" s="793"/>
      <c r="K191" s="793"/>
      <c r="L191" s="793"/>
      <c r="M191" s="793"/>
      <c r="N191" s="794"/>
      <c r="O191" s="794"/>
      <c r="P191" s="793"/>
    </row>
    <row r="192" spans="2:16">
      <c r="B192" s="793"/>
      <c r="C192" s="793"/>
      <c r="D192" s="793"/>
      <c r="E192" s="793"/>
      <c r="F192" s="793"/>
      <c r="G192" s="793"/>
      <c r="H192" s="793"/>
      <c r="I192" s="793"/>
      <c r="J192" s="793"/>
      <c r="K192" s="793"/>
      <c r="L192" s="793"/>
      <c r="M192" s="793"/>
      <c r="N192" s="794"/>
      <c r="O192" s="794"/>
      <c r="P192" s="793"/>
    </row>
    <row r="193" spans="2:16">
      <c r="B193" s="793"/>
      <c r="C193" s="793"/>
      <c r="D193" s="793"/>
      <c r="E193" s="793"/>
      <c r="F193" s="793"/>
      <c r="G193" s="793"/>
      <c r="H193" s="793"/>
      <c r="I193" s="793"/>
      <c r="J193" s="793"/>
      <c r="K193" s="793"/>
      <c r="L193" s="793"/>
      <c r="M193" s="793"/>
      <c r="N193" s="794"/>
      <c r="O193" s="794"/>
      <c r="P193" s="793"/>
    </row>
    <row r="194" spans="2:16">
      <c r="B194" s="793"/>
      <c r="C194" s="793"/>
      <c r="D194" s="793"/>
      <c r="E194" s="793"/>
      <c r="F194" s="793"/>
      <c r="G194" s="793"/>
      <c r="H194" s="793"/>
      <c r="I194" s="793"/>
      <c r="J194" s="793"/>
      <c r="K194" s="793"/>
      <c r="L194" s="793"/>
      <c r="M194" s="793"/>
      <c r="N194" s="794"/>
      <c r="O194" s="794"/>
      <c r="P194" s="793"/>
    </row>
    <row r="195" spans="2:16">
      <c r="B195" s="793"/>
      <c r="C195" s="793"/>
      <c r="D195" s="793"/>
      <c r="E195" s="793"/>
      <c r="F195" s="793"/>
      <c r="G195" s="793"/>
      <c r="H195" s="793"/>
      <c r="I195" s="793"/>
      <c r="J195" s="793"/>
      <c r="K195" s="793"/>
      <c r="L195" s="793"/>
      <c r="M195" s="793"/>
      <c r="N195" s="794"/>
      <c r="O195" s="794"/>
      <c r="P195" s="793"/>
    </row>
    <row r="196" spans="2:16">
      <c r="B196" s="793"/>
      <c r="C196" s="793"/>
      <c r="D196" s="793"/>
      <c r="E196" s="793"/>
      <c r="F196" s="793"/>
      <c r="G196" s="793"/>
      <c r="H196" s="793"/>
      <c r="I196" s="793"/>
      <c r="J196" s="793"/>
      <c r="K196" s="793"/>
      <c r="L196" s="793"/>
      <c r="M196" s="793"/>
      <c r="N196" s="794"/>
      <c r="O196" s="794"/>
      <c r="P196" s="793"/>
    </row>
    <row r="197" spans="2:16">
      <c r="B197" s="793"/>
      <c r="C197" s="793"/>
      <c r="D197" s="793"/>
      <c r="E197" s="793"/>
      <c r="F197" s="793"/>
      <c r="G197" s="793"/>
      <c r="H197" s="793"/>
      <c r="I197" s="793"/>
      <c r="J197" s="793"/>
      <c r="K197" s="793"/>
      <c r="L197" s="793"/>
      <c r="M197" s="793"/>
      <c r="N197" s="794"/>
      <c r="O197" s="794"/>
      <c r="P197" s="793"/>
    </row>
    <row r="198" spans="2:16">
      <c r="B198" s="793"/>
      <c r="C198" s="793"/>
      <c r="D198" s="793"/>
      <c r="E198" s="793"/>
      <c r="F198" s="793"/>
      <c r="G198" s="793"/>
      <c r="H198" s="793"/>
      <c r="I198" s="793"/>
      <c r="J198" s="793"/>
      <c r="K198" s="793"/>
      <c r="L198" s="793"/>
      <c r="M198" s="793"/>
      <c r="N198" s="794"/>
      <c r="O198" s="794"/>
      <c r="P198" s="793"/>
    </row>
    <row r="199" spans="2:16">
      <c r="B199" s="793"/>
      <c r="C199" s="793"/>
      <c r="D199" s="793"/>
      <c r="E199" s="793"/>
      <c r="F199" s="793"/>
      <c r="G199" s="793"/>
      <c r="H199" s="793"/>
      <c r="I199" s="793"/>
      <c r="J199" s="793"/>
      <c r="K199" s="793"/>
      <c r="L199" s="793"/>
      <c r="M199" s="793"/>
      <c r="N199" s="794"/>
      <c r="O199" s="794"/>
      <c r="P199" s="793"/>
    </row>
    <row r="200" spans="2:16">
      <c r="B200" s="793"/>
      <c r="C200" s="793"/>
      <c r="D200" s="793"/>
      <c r="E200" s="793"/>
      <c r="F200" s="793"/>
      <c r="G200" s="793"/>
      <c r="H200" s="793"/>
      <c r="I200" s="793"/>
      <c r="J200" s="793"/>
      <c r="K200" s="793"/>
      <c r="L200" s="793"/>
      <c r="M200" s="793"/>
      <c r="N200" s="794"/>
      <c r="O200" s="794"/>
      <c r="P200" s="793"/>
    </row>
    <row r="201" spans="2:16">
      <c r="B201" s="793"/>
      <c r="C201" s="793"/>
      <c r="D201" s="793"/>
      <c r="E201" s="793"/>
      <c r="F201" s="793"/>
      <c r="G201" s="793"/>
      <c r="H201" s="793"/>
      <c r="I201" s="793"/>
      <c r="J201" s="793"/>
      <c r="K201" s="793"/>
      <c r="L201" s="793"/>
      <c r="M201" s="793"/>
      <c r="N201" s="794"/>
      <c r="O201" s="794"/>
      <c r="P201" s="793"/>
    </row>
    <row r="202" spans="2:16">
      <c r="B202" s="793"/>
      <c r="C202" s="793"/>
      <c r="D202" s="793"/>
      <c r="E202" s="793"/>
      <c r="F202" s="793"/>
      <c r="G202" s="793"/>
      <c r="H202" s="793"/>
      <c r="I202" s="793"/>
      <c r="J202" s="793"/>
      <c r="K202" s="793"/>
      <c r="L202" s="793"/>
      <c r="M202" s="793"/>
      <c r="N202" s="794"/>
      <c r="O202" s="794"/>
      <c r="P202" s="793"/>
    </row>
    <row r="203" spans="2:16">
      <c r="B203" s="793"/>
      <c r="C203" s="793"/>
      <c r="D203" s="793"/>
      <c r="E203" s="793"/>
      <c r="F203" s="793"/>
      <c r="G203" s="793"/>
      <c r="H203" s="793"/>
      <c r="I203" s="793"/>
      <c r="J203" s="793"/>
      <c r="K203" s="793"/>
      <c r="L203" s="793"/>
      <c r="M203" s="793"/>
      <c r="N203" s="794"/>
      <c r="O203" s="794"/>
      <c r="P203" s="793"/>
    </row>
    <row r="204" spans="2:16">
      <c r="B204" s="793"/>
      <c r="C204" s="793"/>
      <c r="D204" s="793"/>
      <c r="E204" s="793"/>
      <c r="F204" s="793"/>
      <c r="G204" s="793"/>
      <c r="H204" s="793"/>
      <c r="I204" s="793"/>
      <c r="J204" s="793"/>
      <c r="K204" s="793"/>
      <c r="L204" s="793"/>
      <c r="M204" s="793"/>
      <c r="N204" s="794"/>
      <c r="O204" s="794"/>
      <c r="P204" s="793"/>
    </row>
    <row r="205" spans="2:16">
      <c r="B205" s="793"/>
      <c r="C205" s="793"/>
      <c r="D205" s="793"/>
      <c r="E205" s="793"/>
      <c r="F205" s="793"/>
      <c r="G205" s="793"/>
      <c r="H205" s="793"/>
      <c r="I205" s="793"/>
      <c r="J205" s="793"/>
      <c r="K205" s="793"/>
      <c r="L205" s="793"/>
      <c r="M205" s="793"/>
      <c r="N205" s="794"/>
      <c r="O205" s="794"/>
      <c r="P205" s="793"/>
    </row>
    <row r="206" spans="2:16">
      <c r="B206" s="793"/>
      <c r="C206" s="793"/>
      <c r="D206" s="793"/>
      <c r="E206" s="793"/>
      <c r="F206" s="793"/>
      <c r="G206" s="793"/>
      <c r="H206" s="793"/>
      <c r="I206" s="793"/>
      <c r="J206" s="793"/>
      <c r="K206" s="793"/>
      <c r="L206" s="793"/>
      <c r="M206" s="793"/>
      <c r="N206" s="794"/>
      <c r="O206" s="794"/>
      <c r="P206" s="793"/>
    </row>
    <row r="207" spans="2:16">
      <c r="B207" s="793"/>
      <c r="C207" s="793"/>
      <c r="D207" s="793"/>
      <c r="E207" s="793"/>
      <c r="F207" s="793"/>
      <c r="G207" s="793"/>
      <c r="H207" s="793"/>
      <c r="I207" s="793"/>
      <c r="J207" s="793"/>
      <c r="K207" s="793"/>
      <c r="L207" s="793"/>
      <c r="M207" s="793"/>
      <c r="N207" s="794"/>
      <c r="O207" s="794"/>
      <c r="P207" s="793"/>
    </row>
    <row r="208" spans="2:16">
      <c r="B208" s="793"/>
      <c r="C208" s="793"/>
      <c r="D208" s="793"/>
      <c r="E208" s="793"/>
      <c r="F208" s="793"/>
      <c r="G208" s="793"/>
      <c r="H208" s="793"/>
      <c r="I208" s="793"/>
      <c r="J208" s="793"/>
      <c r="K208" s="793"/>
      <c r="L208" s="793"/>
      <c r="M208" s="793"/>
      <c r="N208" s="794"/>
      <c r="O208" s="794"/>
      <c r="P208" s="793"/>
    </row>
    <row r="209" spans="2:16">
      <c r="B209" s="793"/>
      <c r="C209" s="793"/>
      <c r="D209" s="793"/>
      <c r="E209" s="793"/>
      <c r="F209" s="793"/>
      <c r="G209" s="793"/>
      <c r="H209" s="793"/>
      <c r="I209" s="793"/>
      <c r="J209" s="793"/>
      <c r="K209" s="793"/>
      <c r="L209" s="793"/>
      <c r="M209" s="793"/>
      <c r="N209" s="794"/>
      <c r="O209" s="794"/>
      <c r="P209" s="793"/>
    </row>
    <row r="210" spans="2:16">
      <c r="B210" s="793"/>
      <c r="C210" s="793"/>
      <c r="D210" s="793"/>
      <c r="E210" s="793"/>
      <c r="F210" s="793"/>
      <c r="G210" s="793"/>
      <c r="H210" s="793"/>
      <c r="I210" s="793"/>
      <c r="J210" s="793"/>
      <c r="K210" s="793"/>
      <c r="L210" s="793"/>
      <c r="M210" s="793"/>
      <c r="N210" s="794"/>
      <c r="O210" s="794"/>
      <c r="P210" s="793"/>
    </row>
    <row r="211" spans="2:16">
      <c r="B211" s="793"/>
      <c r="C211" s="793"/>
      <c r="D211" s="793"/>
      <c r="E211" s="793"/>
      <c r="F211" s="793"/>
      <c r="G211" s="793"/>
      <c r="H211" s="793"/>
      <c r="I211" s="793"/>
      <c r="J211" s="793"/>
      <c r="K211" s="793"/>
      <c r="L211" s="793"/>
      <c r="M211" s="793"/>
      <c r="N211" s="794"/>
      <c r="O211" s="794"/>
      <c r="P211" s="793"/>
    </row>
    <row r="212" spans="2:16">
      <c r="B212" s="793"/>
      <c r="C212" s="793"/>
      <c r="D212" s="793"/>
      <c r="E212" s="793"/>
      <c r="F212" s="793"/>
      <c r="G212" s="793"/>
      <c r="H212" s="793"/>
      <c r="I212" s="793"/>
      <c r="J212" s="793"/>
      <c r="K212" s="793"/>
      <c r="L212" s="793"/>
      <c r="M212" s="793"/>
      <c r="N212" s="794"/>
      <c r="O212" s="794"/>
      <c r="P212" s="793"/>
    </row>
    <row r="213" spans="2:16">
      <c r="B213" s="793"/>
      <c r="C213" s="793"/>
      <c r="D213" s="793"/>
      <c r="E213" s="793"/>
      <c r="F213" s="793"/>
      <c r="G213" s="793"/>
      <c r="H213" s="793"/>
      <c r="I213" s="793"/>
      <c r="J213" s="793"/>
      <c r="K213" s="793"/>
      <c r="L213" s="793"/>
      <c r="M213" s="793"/>
      <c r="N213" s="794"/>
      <c r="O213" s="794"/>
      <c r="P213" s="793"/>
    </row>
    <row r="214" spans="2:16">
      <c r="B214" s="793"/>
      <c r="C214" s="793"/>
      <c r="D214" s="793"/>
      <c r="E214" s="793"/>
      <c r="F214" s="793"/>
      <c r="G214" s="793"/>
      <c r="H214" s="793"/>
      <c r="I214" s="793"/>
      <c r="J214" s="793"/>
      <c r="K214" s="793"/>
      <c r="L214" s="793"/>
      <c r="M214" s="793"/>
      <c r="N214" s="794"/>
      <c r="O214" s="794"/>
      <c r="P214" s="793"/>
    </row>
    <row r="215" spans="2:16">
      <c r="B215" s="793"/>
      <c r="C215" s="793"/>
      <c r="D215" s="793"/>
      <c r="E215" s="793"/>
      <c r="F215" s="793"/>
      <c r="G215" s="793"/>
      <c r="H215" s="793"/>
      <c r="I215" s="793"/>
      <c r="J215" s="793"/>
      <c r="K215" s="793"/>
      <c r="L215" s="793"/>
      <c r="M215" s="793"/>
      <c r="N215" s="794"/>
      <c r="O215" s="794"/>
      <c r="P215" s="793"/>
    </row>
    <row r="216" spans="2:16">
      <c r="B216" s="793"/>
      <c r="C216" s="793"/>
      <c r="D216" s="793"/>
      <c r="E216" s="793"/>
      <c r="F216" s="793"/>
      <c r="G216" s="793"/>
      <c r="H216" s="793"/>
      <c r="I216" s="793"/>
      <c r="J216" s="793"/>
      <c r="K216" s="793"/>
      <c r="L216" s="793"/>
      <c r="M216" s="793"/>
      <c r="N216" s="794"/>
      <c r="O216" s="794"/>
      <c r="P216" s="793"/>
    </row>
    <row r="217" spans="2:16">
      <c r="B217" s="793"/>
      <c r="C217" s="793"/>
      <c r="D217" s="793"/>
      <c r="E217" s="793"/>
      <c r="F217" s="793"/>
      <c r="G217" s="793"/>
      <c r="H217" s="793"/>
      <c r="I217" s="793"/>
      <c r="J217" s="793"/>
      <c r="K217" s="793"/>
      <c r="L217" s="793"/>
      <c r="M217" s="793"/>
      <c r="N217" s="794"/>
      <c r="O217" s="794"/>
      <c r="P217" s="793"/>
    </row>
    <row r="218" spans="2:16">
      <c r="B218" s="793"/>
      <c r="C218" s="793"/>
      <c r="D218" s="793"/>
      <c r="E218" s="793"/>
      <c r="F218" s="793"/>
      <c r="G218" s="793"/>
      <c r="H218" s="793"/>
      <c r="I218" s="793"/>
      <c r="J218" s="793"/>
      <c r="K218" s="793"/>
      <c r="L218" s="793"/>
      <c r="M218" s="793"/>
      <c r="N218" s="794"/>
      <c r="O218" s="794"/>
      <c r="P218" s="793"/>
    </row>
    <row r="219" spans="2:16">
      <c r="B219" s="793"/>
      <c r="C219" s="793"/>
      <c r="D219" s="793"/>
      <c r="E219" s="793"/>
      <c r="F219" s="793"/>
      <c r="G219" s="793"/>
      <c r="H219" s="793"/>
      <c r="I219" s="793"/>
      <c r="J219" s="793"/>
      <c r="K219" s="793"/>
      <c r="L219" s="793"/>
      <c r="M219" s="793"/>
      <c r="N219" s="794"/>
      <c r="O219" s="794"/>
      <c r="P219" s="793"/>
    </row>
    <row r="220" spans="2:16">
      <c r="B220" s="793"/>
      <c r="C220" s="793"/>
      <c r="D220" s="793"/>
      <c r="E220" s="793"/>
      <c r="F220" s="793"/>
      <c r="G220" s="793"/>
      <c r="H220" s="793"/>
      <c r="I220" s="793"/>
      <c r="J220" s="793"/>
      <c r="K220" s="793"/>
      <c r="L220" s="793"/>
      <c r="M220" s="793"/>
      <c r="N220" s="794"/>
      <c r="O220" s="794"/>
      <c r="P220" s="793"/>
    </row>
    <row r="221" spans="2:16">
      <c r="B221" s="793"/>
      <c r="C221" s="793"/>
      <c r="D221" s="793"/>
      <c r="E221" s="793"/>
      <c r="F221" s="793"/>
      <c r="G221" s="793"/>
      <c r="H221" s="793"/>
      <c r="I221" s="793"/>
      <c r="J221" s="793"/>
      <c r="K221" s="793"/>
      <c r="L221" s="793"/>
      <c r="M221" s="793"/>
      <c r="N221" s="794"/>
      <c r="O221" s="794"/>
      <c r="P221" s="793"/>
    </row>
    <row r="222" spans="2:16">
      <c r="B222" s="793"/>
      <c r="C222" s="793"/>
      <c r="D222" s="793"/>
      <c r="E222" s="793"/>
      <c r="F222" s="793"/>
      <c r="G222" s="793"/>
      <c r="H222" s="793"/>
      <c r="I222" s="793"/>
      <c r="J222" s="793"/>
      <c r="K222" s="793"/>
      <c r="L222" s="793"/>
      <c r="M222" s="793"/>
      <c r="N222" s="794"/>
      <c r="O222" s="794"/>
      <c r="P222" s="793"/>
    </row>
    <row r="223" spans="2:16">
      <c r="B223" s="793"/>
      <c r="C223" s="793"/>
      <c r="D223" s="793"/>
      <c r="E223" s="793"/>
      <c r="F223" s="793"/>
      <c r="G223" s="793"/>
      <c r="H223" s="793"/>
      <c r="I223" s="793"/>
      <c r="J223" s="793"/>
      <c r="K223" s="793"/>
      <c r="L223" s="793"/>
      <c r="M223" s="793"/>
      <c r="N223" s="794"/>
      <c r="O223" s="794"/>
      <c r="P223" s="793"/>
    </row>
    <row r="224" spans="2:16">
      <c r="B224" s="793"/>
      <c r="C224" s="793"/>
      <c r="D224" s="793"/>
      <c r="E224" s="793"/>
      <c r="F224" s="793"/>
      <c r="G224" s="793"/>
      <c r="H224" s="793"/>
      <c r="I224" s="793"/>
      <c r="J224" s="793"/>
      <c r="K224" s="793"/>
      <c r="L224" s="793"/>
      <c r="M224" s="793"/>
      <c r="N224" s="794"/>
      <c r="O224" s="794"/>
      <c r="P224" s="793"/>
    </row>
    <row r="225" spans="1:16">
      <c r="B225" s="793"/>
      <c r="C225" s="793"/>
      <c r="D225" s="793"/>
      <c r="E225" s="793"/>
      <c r="F225" s="793"/>
      <c r="G225" s="793"/>
      <c r="H225" s="793"/>
      <c r="I225" s="793"/>
      <c r="J225" s="793"/>
      <c r="K225" s="793"/>
      <c r="L225" s="793"/>
      <c r="M225" s="793"/>
      <c r="N225" s="794"/>
      <c r="O225" s="794"/>
      <c r="P225" s="793"/>
    </row>
    <row r="226" spans="1:16">
      <c r="B226" s="793"/>
      <c r="C226" s="793"/>
      <c r="D226" s="793"/>
      <c r="E226" s="793"/>
      <c r="F226" s="793"/>
      <c r="G226" s="793"/>
      <c r="H226" s="793"/>
      <c r="I226" s="793"/>
      <c r="J226" s="793"/>
      <c r="K226" s="793"/>
      <c r="L226" s="793"/>
      <c r="M226" s="793"/>
      <c r="N226" s="794"/>
      <c r="O226" s="794"/>
      <c r="P226" s="793"/>
    </row>
    <row r="227" spans="1:16">
      <c r="B227" s="793"/>
      <c r="C227" s="793"/>
      <c r="D227" s="793"/>
      <c r="E227" s="793"/>
      <c r="F227" s="793"/>
      <c r="G227" s="793"/>
      <c r="H227" s="793"/>
      <c r="I227" s="793"/>
      <c r="J227" s="793"/>
      <c r="K227" s="793"/>
      <c r="L227" s="793"/>
      <c r="M227" s="793"/>
      <c r="N227" s="794"/>
      <c r="O227" s="794"/>
      <c r="P227" s="793"/>
    </row>
    <row r="228" spans="1:16">
      <c r="B228" s="793"/>
      <c r="C228" s="793"/>
      <c r="D228" s="793"/>
      <c r="E228" s="793"/>
      <c r="F228" s="793"/>
      <c r="G228" s="793"/>
      <c r="H228" s="793"/>
      <c r="I228" s="793"/>
      <c r="J228" s="793"/>
      <c r="K228" s="793"/>
      <c r="L228" s="793"/>
      <c r="M228" s="793"/>
      <c r="N228" s="794"/>
      <c r="O228" s="794"/>
      <c r="P228" s="793"/>
    </row>
    <row r="229" spans="1:16">
      <c r="B229" s="793"/>
      <c r="C229" s="793"/>
      <c r="D229" s="793"/>
      <c r="E229" s="793"/>
      <c r="F229" s="793"/>
      <c r="G229" s="793"/>
      <c r="H229" s="793"/>
      <c r="I229" s="793"/>
      <c r="J229" s="793"/>
      <c r="K229" s="793"/>
      <c r="L229" s="793"/>
      <c r="M229" s="793"/>
      <c r="N229" s="794"/>
      <c r="O229" s="794"/>
      <c r="P229" s="793"/>
    </row>
    <row r="230" spans="1:16">
      <c r="B230" s="793"/>
      <c r="C230" s="793"/>
      <c r="D230" s="793"/>
      <c r="E230" s="793"/>
      <c r="F230" s="793"/>
      <c r="G230" s="793"/>
      <c r="H230" s="793"/>
      <c r="I230" s="793"/>
      <c r="J230" s="793"/>
      <c r="K230" s="793"/>
      <c r="L230" s="793"/>
      <c r="M230" s="793"/>
      <c r="N230" s="794"/>
      <c r="O230" s="794"/>
      <c r="P230" s="793"/>
    </row>
    <row r="231" spans="1:16">
      <c r="B231" s="793"/>
      <c r="C231" s="793"/>
      <c r="D231" s="793"/>
      <c r="E231" s="793"/>
      <c r="F231" s="793"/>
      <c r="G231" s="793"/>
      <c r="H231" s="793"/>
      <c r="I231" s="793"/>
      <c r="J231" s="793"/>
      <c r="K231" s="793"/>
      <c r="L231" s="793"/>
      <c r="M231" s="793"/>
      <c r="N231" s="794"/>
      <c r="O231" s="794"/>
      <c r="P231" s="793"/>
    </row>
    <row r="232" spans="1:16">
      <c r="B232" s="793"/>
      <c r="C232" s="793"/>
      <c r="D232" s="793"/>
      <c r="E232" s="793"/>
      <c r="F232" s="793"/>
      <c r="G232" s="793"/>
      <c r="H232" s="793"/>
      <c r="I232" s="793"/>
      <c r="J232" s="793"/>
      <c r="K232" s="793"/>
      <c r="L232" s="793"/>
      <c r="M232" s="793"/>
      <c r="N232" s="794"/>
      <c r="O232" s="794"/>
      <c r="P232" s="793"/>
    </row>
    <row r="233" spans="1:16">
      <c r="B233" s="793"/>
      <c r="C233" s="793"/>
      <c r="D233" s="793"/>
      <c r="E233" s="793"/>
      <c r="F233" s="793"/>
      <c r="G233" s="793"/>
      <c r="H233" s="793"/>
      <c r="I233" s="793"/>
      <c r="J233" s="793"/>
      <c r="K233" s="793"/>
      <c r="L233" s="793"/>
      <c r="M233" s="793"/>
      <c r="N233" s="794"/>
      <c r="O233" s="794"/>
      <c r="P233" s="793"/>
    </row>
    <row r="234" spans="1:16">
      <c r="B234" s="793"/>
      <c r="C234" s="793"/>
      <c r="D234" s="793"/>
      <c r="E234" s="793"/>
      <c r="F234" s="793"/>
      <c r="G234" s="793"/>
      <c r="H234" s="793"/>
      <c r="I234" s="793"/>
      <c r="J234" s="793"/>
      <c r="K234" s="793"/>
      <c r="L234" s="793"/>
      <c r="M234" s="793"/>
      <c r="N234" s="794"/>
      <c r="O234" s="794"/>
      <c r="P234" s="793"/>
    </row>
    <row r="235" spans="1:16">
      <c r="B235" s="793"/>
      <c r="C235" s="793"/>
      <c r="D235" s="793"/>
      <c r="E235" s="793"/>
      <c r="F235" s="793"/>
      <c r="G235" s="793"/>
      <c r="H235" s="793"/>
      <c r="I235" s="793"/>
      <c r="J235" s="793"/>
      <c r="K235" s="793"/>
      <c r="L235" s="793"/>
      <c r="M235" s="793"/>
      <c r="N235" s="794"/>
      <c r="O235" s="794"/>
      <c r="P235" s="793"/>
    </row>
    <row r="236" spans="1:16">
      <c r="A236" s="792"/>
      <c r="B236" s="793"/>
      <c r="C236" s="793"/>
      <c r="D236" s="793"/>
      <c r="E236" s="793"/>
      <c r="F236" s="793"/>
      <c r="G236" s="793"/>
      <c r="H236" s="793"/>
      <c r="I236" s="793"/>
      <c r="J236" s="793"/>
      <c r="K236" s="793"/>
      <c r="L236" s="793"/>
      <c r="M236" s="793"/>
      <c r="N236" s="793"/>
      <c r="O236" s="793"/>
      <c r="P236" s="793"/>
    </row>
    <row r="237" spans="1:16">
      <c r="A237" s="792"/>
      <c r="B237" s="793"/>
      <c r="C237" s="793"/>
      <c r="D237" s="793"/>
      <c r="E237" s="793"/>
      <c r="F237" s="793"/>
      <c r="G237" s="793"/>
      <c r="H237" s="793"/>
      <c r="I237" s="793"/>
      <c r="J237" s="793"/>
      <c r="K237" s="793"/>
      <c r="L237" s="793"/>
      <c r="M237" s="793"/>
      <c r="N237" s="793"/>
      <c r="O237" s="793"/>
      <c r="P237" s="793"/>
    </row>
    <row r="238" spans="1:16">
      <c r="A238" s="792"/>
      <c r="B238" s="797"/>
      <c r="C238" s="797"/>
      <c r="D238" s="797"/>
      <c r="E238" s="797"/>
      <c r="F238" s="797"/>
      <c r="G238" s="797"/>
      <c r="H238" s="797"/>
      <c r="I238" s="797"/>
      <c r="J238" s="797"/>
      <c r="K238" s="797"/>
      <c r="L238" s="797"/>
      <c r="M238" s="797"/>
      <c r="N238" s="793"/>
      <c r="O238" s="793"/>
      <c r="P238" s="793"/>
    </row>
    <row r="239" spans="1:16">
      <c r="A239" s="792"/>
      <c r="B239" s="793"/>
      <c r="C239" s="793"/>
      <c r="D239" s="793"/>
      <c r="E239" s="793"/>
      <c r="F239" s="793"/>
      <c r="G239" s="793"/>
      <c r="H239" s="793"/>
      <c r="I239" s="793"/>
      <c r="J239" s="793"/>
      <c r="K239" s="793"/>
      <c r="L239" s="793"/>
      <c r="M239" s="793"/>
      <c r="N239" s="793"/>
      <c r="O239" s="793"/>
      <c r="P239" s="793"/>
    </row>
    <row r="240" spans="1:16">
      <c r="A240" s="792"/>
      <c r="B240" s="793"/>
      <c r="C240" s="793"/>
      <c r="D240" s="793"/>
      <c r="E240" s="793"/>
      <c r="F240" s="793"/>
      <c r="G240" s="793"/>
      <c r="H240" s="793"/>
      <c r="I240" s="793"/>
      <c r="J240" s="793"/>
      <c r="K240" s="793"/>
      <c r="L240" s="793"/>
      <c r="M240" s="793"/>
      <c r="N240" s="793"/>
      <c r="O240" s="793"/>
      <c r="P240" s="793"/>
    </row>
    <row r="241" spans="1:16">
      <c r="A241" s="792"/>
      <c r="B241" s="793"/>
      <c r="C241" s="793"/>
      <c r="D241" s="793"/>
      <c r="E241" s="793"/>
      <c r="F241" s="793"/>
      <c r="G241" s="793"/>
      <c r="H241" s="793"/>
      <c r="I241" s="793"/>
      <c r="J241" s="793"/>
      <c r="K241" s="793"/>
      <c r="L241" s="793"/>
      <c r="M241" s="793"/>
      <c r="N241" s="793"/>
      <c r="O241" s="793"/>
      <c r="P241" s="793"/>
    </row>
    <row r="242" spans="1:16">
      <c r="A242" s="792"/>
      <c r="B242" s="793"/>
      <c r="C242" s="793"/>
      <c r="D242" s="793"/>
      <c r="E242" s="793"/>
      <c r="F242" s="793"/>
      <c r="G242" s="793"/>
      <c r="H242" s="793"/>
      <c r="I242" s="793"/>
      <c r="J242" s="793"/>
      <c r="K242" s="793"/>
      <c r="L242" s="793"/>
      <c r="M242" s="793"/>
      <c r="N242" s="793"/>
      <c r="O242" s="793"/>
      <c r="P242" s="793"/>
    </row>
    <row r="243" spans="1:16">
      <c r="A243" s="792"/>
      <c r="B243" s="793"/>
      <c r="C243" s="793"/>
      <c r="D243" s="793"/>
      <c r="E243" s="793"/>
      <c r="F243" s="793"/>
      <c r="G243" s="793"/>
      <c r="H243" s="793"/>
      <c r="I243" s="793"/>
      <c r="J243" s="793"/>
      <c r="K243" s="793"/>
      <c r="L243" s="793"/>
      <c r="M243" s="793"/>
      <c r="N243" s="793"/>
      <c r="O243" s="793"/>
      <c r="P243" s="793"/>
    </row>
    <row r="244" spans="1:16">
      <c r="A244" s="792"/>
      <c r="B244" s="793"/>
      <c r="C244" s="793"/>
      <c r="D244" s="793"/>
      <c r="E244" s="793"/>
      <c r="F244" s="793"/>
      <c r="G244" s="793"/>
      <c r="H244" s="793"/>
      <c r="I244" s="793"/>
      <c r="J244" s="793"/>
      <c r="K244" s="793"/>
      <c r="L244" s="793"/>
      <c r="M244" s="793"/>
      <c r="N244" s="793"/>
      <c r="O244" s="793"/>
      <c r="P244" s="793"/>
    </row>
    <row r="245" spans="1:16">
      <c r="A245" s="792"/>
      <c r="B245" s="793"/>
      <c r="C245" s="793"/>
      <c r="D245" s="793"/>
      <c r="E245" s="793"/>
      <c r="F245" s="793"/>
      <c r="G245" s="793"/>
      <c r="H245" s="793"/>
      <c r="I245" s="793"/>
      <c r="J245" s="793"/>
      <c r="K245" s="793"/>
      <c r="L245" s="793"/>
      <c r="M245" s="793"/>
      <c r="N245" s="793"/>
      <c r="O245" s="793"/>
      <c r="P245" s="793"/>
    </row>
    <row r="246" spans="1:16">
      <c r="A246" s="792"/>
      <c r="B246" s="793"/>
      <c r="C246" s="793"/>
      <c r="D246" s="793"/>
      <c r="E246" s="793"/>
      <c r="F246" s="793"/>
      <c r="G246" s="793"/>
      <c r="H246" s="793"/>
      <c r="I246" s="793"/>
      <c r="J246" s="793"/>
      <c r="K246" s="793"/>
      <c r="L246" s="793"/>
      <c r="M246" s="793"/>
      <c r="N246" s="793"/>
      <c r="O246" s="793"/>
      <c r="P246" s="793"/>
    </row>
    <row r="247" spans="1:16">
      <c r="A247" s="792"/>
      <c r="B247" s="793"/>
      <c r="C247" s="793"/>
      <c r="D247" s="793"/>
      <c r="E247" s="793"/>
      <c r="F247" s="793"/>
      <c r="G247" s="793"/>
      <c r="H247" s="793"/>
      <c r="I247" s="793"/>
      <c r="J247" s="793"/>
      <c r="K247" s="793"/>
      <c r="L247" s="793"/>
      <c r="M247" s="793"/>
      <c r="N247" s="793"/>
      <c r="O247" s="793"/>
      <c r="P247" s="793"/>
    </row>
    <row r="248" spans="1:16">
      <c r="A248" s="792"/>
      <c r="B248" s="793"/>
      <c r="C248" s="793"/>
      <c r="D248" s="793"/>
      <c r="E248" s="793"/>
      <c r="F248" s="793"/>
      <c r="G248" s="793"/>
      <c r="H248" s="793"/>
      <c r="I248" s="793"/>
      <c r="J248" s="793"/>
      <c r="K248" s="793"/>
      <c r="L248" s="793"/>
      <c r="M248" s="793"/>
      <c r="N248" s="793"/>
      <c r="O248" s="793"/>
      <c r="P248" s="793"/>
    </row>
    <row r="249" spans="1:16">
      <c r="A249" s="792"/>
      <c r="B249" s="793"/>
      <c r="C249" s="793"/>
      <c r="D249" s="793"/>
      <c r="E249" s="793"/>
      <c r="F249" s="793"/>
      <c r="G249" s="793"/>
      <c r="H249" s="793"/>
      <c r="I249" s="793"/>
      <c r="J249" s="793"/>
      <c r="K249" s="793"/>
      <c r="L249" s="793"/>
      <c r="M249" s="793"/>
      <c r="N249" s="793"/>
      <c r="O249" s="793"/>
      <c r="P249" s="793"/>
    </row>
    <row r="250" spans="1:16">
      <c r="A250" s="792"/>
      <c r="B250" s="793"/>
      <c r="C250" s="793"/>
      <c r="D250" s="793"/>
      <c r="E250" s="793"/>
      <c r="F250" s="793"/>
      <c r="G250" s="793"/>
      <c r="H250" s="793"/>
      <c r="I250" s="793"/>
      <c r="J250" s="793"/>
      <c r="K250" s="793"/>
      <c r="L250" s="793"/>
      <c r="M250" s="793"/>
      <c r="N250" s="793"/>
      <c r="O250" s="793"/>
      <c r="P250" s="793"/>
    </row>
    <row r="251" spans="1:16">
      <c r="A251" s="792"/>
      <c r="B251" s="793"/>
      <c r="C251" s="793"/>
      <c r="D251" s="793"/>
      <c r="E251" s="793"/>
      <c r="F251" s="793"/>
      <c r="G251" s="793"/>
      <c r="H251" s="793"/>
      <c r="I251" s="793"/>
      <c r="J251" s="793"/>
      <c r="K251" s="793"/>
      <c r="L251" s="793"/>
      <c r="M251" s="793"/>
      <c r="N251" s="793"/>
      <c r="O251" s="793"/>
      <c r="P251" s="793"/>
    </row>
    <row r="252" spans="1:16">
      <c r="A252" s="792"/>
      <c r="B252" s="793"/>
      <c r="C252" s="793"/>
      <c r="D252" s="793"/>
      <c r="E252" s="793"/>
      <c r="F252" s="793"/>
      <c r="G252" s="793"/>
      <c r="H252" s="793"/>
      <c r="I252" s="793"/>
      <c r="J252" s="793"/>
      <c r="K252" s="793"/>
      <c r="L252" s="793"/>
      <c r="M252" s="793"/>
      <c r="N252" s="793"/>
      <c r="O252" s="793"/>
      <c r="P252" s="793"/>
    </row>
    <row r="253" spans="1:16">
      <c r="A253" s="792"/>
      <c r="B253" s="793"/>
      <c r="C253" s="793"/>
      <c r="D253" s="793"/>
      <c r="E253" s="793"/>
      <c r="F253" s="793"/>
      <c r="G253" s="793"/>
      <c r="H253" s="793"/>
      <c r="I253" s="793"/>
      <c r="J253" s="793"/>
      <c r="K253" s="793"/>
      <c r="L253" s="793"/>
      <c r="M253" s="793"/>
      <c r="N253" s="793"/>
      <c r="O253" s="793"/>
      <c r="P253" s="793"/>
    </row>
    <row r="254" spans="1:16">
      <c r="A254" s="792"/>
      <c r="B254" s="793"/>
      <c r="C254" s="793"/>
      <c r="D254" s="793"/>
      <c r="E254" s="793"/>
      <c r="F254" s="793"/>
      <c r="G254" s="793"/>
      <c r="H254" s="793"/>
      <c r="I254" s="793"/>
      <c r="J254" s="793"/>
      <c r="K254" s="793"/>
      <c r="L254" s="793"/>
      <c r="M254" s="793"/>
      <c r="N254" s="793"/>
      <c r="O254" s="793"/>
      <c r="P254" s="793"/>
    </row>
    <row r="255" spans="1:16">
      <c r="A255" s="792"/>
      <c r="B255" s="793"/>
      <c r="C255" s="793"/>
      <c r="D255" s="793"/>
      <c r="E255" s="793"/>
      <c r="F255" s="793"/>
      <c r="G255" s="793"/>
      <c r="H255" s="793"/>
      <c r="I255" s="793"/>
      <c r="J255" s="793"/>
      <c r="K255" s="793"/>
      <c r="L255" s="793"/>
      <c r="M255" s="793"/>
      <c r="N255" s="793"/>
      <c r="O255" s="793"/>
      <c r="P255" s="793"/>
    </row>
    <row r="256" spans="1:16">
      <c r="A256" s="792"/>
      <c r="B256" s="793"/>
      <c r="C256" s="793"/>
      <c r="D256" s="793"/>
      <c r="E256" s="793"/>
      <c r="F256" s="793"/>
      <c r="G256" s="793"/>
      <c r="H256" s="793"/>
      <c r="I256" s="793"/>
      <c r="J256" s="793"/>
      <c r="K256" s="793"/>
      <c r="L256" s="793"/>
      <c r="M256" s="793"/>
      <c r="N256" s="793"/>
      <c r="O256" s="793"/>
      <c r="P256" s="793"/>
    </row>
    <row r="257" spans="1:16">
      <c r="A257" s="792"/>
      <c r="B257" s="793"/>
      <c r="C257" s="793"/>
      <c r="D257" s="793"/>
      <c r="E257" s="793"/>
      <c r="F257" s="793"/>
      <c r="G257" s="793"/>
      <c r="H257" s="793"/>
      <c r="I257" s="793"/>
      <c r="J257" s="793"/>
      <c r="K257" s="793"/>
      <c r="L257" s="793"/>
      <c r="M257" s="793"/>
      <c r="N257" s="793"/>
      <c r="O257" s="793"/>
      <c r="P257" s="793"/>
    </row>
    <row r="258" spans="1:16">
      <c r="A258" s="792"/>
      <c r="B258" s="793"/>
      <c r="C258" s="793"/>
      <c r="D258" s="793"/>
      <c r="E258" s="793"/>
      <c r="F258" s="793"/>
      <c r="G258" s="793"/>
      <c r="H258" s="793"/>
      <c r="I258" s="793"/>
      <c r="J258" s="793"/>
      <c r="K258" s="793"/>
      <c r="L258" s="793"/>
      <c r="M258" s="793"/>
      <c r="N258" s="793"/>
      <c r="O258" s="793"/>
      <c r="P258" s="793"/>
    </row>
    <row r="259" spans="1:16">
      <c r="A259" s="792"/>
      <c r="B259" s="793"/>
      <c r="C259" s="793"/>
      <c r="D259" s="793"/>
      <c r="E259" s="793"/>
      <c r="F259" s="793"/>
      <c r="G259" s="793"/>
      <c r="H259" s="793"/>
      <c r="I259" s="793"/>
      <c r="J259" s="793"/>
      <c r="K259" s="793"/>
      <c r="L259" s="793"/>
      <c r="M259" s="793"/>
      <c r="N259" s="793"/>
      <c r="O259" s="793"/>
      <c r="P259" s="793"/>
    </row>
    <row r="260" spans="1:16">
      <c r="A260" s="792"/>
      <c r="B260" s="793"/>
      <c r="C260" s="793"/>
      <c r="D260" s="793"/>
      <c r="E260" s="793"/>
      <c r="F260" s="793"/>
      <c r="G260" s="793"/>
      <c r="H260" s="793"/>
      <c r="I260" s="793"/>
      <c r="J260" s="793"/>
      <c r="K260" s="793"/>
      <c r="L260" s="793"/>
      <c r="M260" s="793"/>
      <c r="N260" s="793"/>
      <c r="O260" s="793"/>
      <c r="P260" s="793"/>
    </row>
    <row r="261" spans="1:16">
      <c r="A261" s="792"/>
      <c r="B261" s="793"/>
      <c r="C261" s="793"/>
      <c r="D261" s="793"/>
      <c r="E261" s="793"/>
      <c r="F261" s="793"/>
      <c r="G261" s="793"/>
      <c r="H261" s="793"/>
      <c r="I261" s="793"/>
      <c r="J261" s="793"/>
      <c r="K261" s="793"/>
      <c r="L261" s="793"/>
      <c r="M261" s="793"/>
      <c r="N261" s="793"/>
      <c r="O261" s="793"/>
      <c r="P261" s="793"/>
    </row>
    <row r="262" spans="1:16">
      <c r="A262" s="792"/>
      <c r="B262" s="793"/>
      <c r="C262" s="793"/>
      <c r="D262" s="793"/>
      <c r="E262" s="793"/>
      <c r="F262" s="793"/>
      <c r="G262" s="793"/>
      <c r="H262" s="793"/>
      <c r="I262" s="793"/>
      <c r="J262" s="793"/>
      <c r="K262" s="793"/>
      <c r="L262" s="793"/>
      <c r="M262" s="793"/>
      <c r="N262" s="793"/>
      <c r="O262" s="793"/>
      <c r="P262" s="793"/>
    </row>
    <row r="263" spans="1:16">
      <c r="A263" s="792"/>
      <c r="B263" s="793"/>
      <c r="C263" s="793"/>
      <c r="D263" s="793"/>
      <c r="E263" s="793"/>
      <c r="F263" s="793"/>
      <c r="G263" s="793"/>
      <c r="H263" s="793"/>
      <c r="I263" s="793"/>
      <c r="J263" s="793"/>
      <c r="K263" s="793"/>
      <c r="L263" s="793"/>
      <c r="M263" s="793"/>
      <c r="N263" s="793"/>
      <c r="O263" s="793"/>
      <c r="P263" s="793"/>
    </row>
    <row r="264" spans="1:16">
      <c r="A264" s="792"/>
      <c r="B264" s="793"/>
      <c r="C264" s="793"/>
      <c r="D264" s="793"/>
      <c r="E264" s="793"/>
      <c r="F264" s="793"/>
      <c r="G264" s="793"/>
      <c r="H264" s="793"/>
      <c r="I264" s="793"/>
      <c r="J264" s="793"/>
      <c r="K264" s="793"/>
      <c r="L264" s="793"/>
      <c r="M264" s="793"/>
      <c r="N264" s="793"/>
      <c r="O264" s="793"/>
      <c r="P264" s="793"/>
    </row>
    <row r="265" spans="1:16">
      <c r="A265" s="798"/>
      <c r="B265" s="799"/>
      <c r="C265" s="799"/>
      <c r="D265" s="799"/>
      <c r="E265" s="799"/>
      <c r="F265" s="799"/>
      <c r="G265" s="799"/>
      <c r="H265" s="799"/>
      <c r="I265" s="799"/>
      <c r="J265" s="799"/>
      <c r="K265" s="799"/>
      <c r="L265" s="799"/>
      <c r="M265" s="799"/>
      <c r="N265" s="799"/>
      <c r="O265" s="799"/>
      <c r="P265" s="799"/>
    </row>
    <row r="266" spans="1:16">
      <c r="A266" s="792"/>
      <c r="B266" s="793"/>
      <c r="C266" s="793"/>
      <c r="D266" s="793"/>
      <c r="E266" s="793"/>
      <c r="F266" s="793"/>
      <c r="G266" s="793"/>
      <c r="H266" s="793"/>
      <c r="I266" s="793"/>
      <c r="J266" s="793"/>
      <c r="K266" s="793"/>
      <c r="L266" s="793"/>
      <c r="M266" s="793"/>
      <c r="N266" s="793"/>
      <c r="O266" s="793"/>
      <c r="P266" s="793"/>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8" fitToHeight="3" orientation="portrait" r:id="rId2"/>
  <headerFooter alignWithMargins="0"/>
  <rowBreaks count="1" manualBreakCount="1">
    <brk id="93"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0"/>
  <sheetViews>
    <sheetView showGridLines="0" topLeftCell="A109" zoomScale="60" zoomScaleNormal="60" zoomScaleSheetLayoutView="99" workbookViewId="0">
      <selection activeCell="J164" sqref="J164"/>
    </sheetView>
  </sheetViews>
  <sheetFormatPr defaultRowHeight="12.75"/>
  <cols>
    <col min="1" max="1" width="32.7109375" style="769" customWidth="1"/>
    <col min="2" max="2" width="14.28515625" style="769" customWidth="1"/>
    <col min="3" max="3" width="5.140625" style="769" customWidth="1"/>
    <col min="4" max="4" width="14.28515625" style="769" customWidth="1"/>
    <col min="5" max="5" width="4.7109375" style="769" customWidth="1"/>
    <col min="6" max="6" width="14.28515625" style="769" customWidth="1"/>
    <col min="7" max="7" width="3.28515625" style="769" customWidth="1"/>
    <col min="8" max="8" width="15.5703125" style="769" bestFit="1" customWidth="1"/>
    <col min="9" max="9" width="4.42578125" style="769" customWidth="1"/>
    <col min="10" max="10" width="15.5703125" style="769" bestFit="1" customWidth="1"/>
    <col min="11" max="11" width="3.7109375" style="769" customWidth="1"/>
    <col min="12" max="12" width="15.5703125" style="769" bestFit="1" customWidth="1"/>
    <col min="13" max="13" width="4.140625" style="769" customWidth="1"/>
    <col min="14" max="14" width="15.7109375" style="769" bestFit="1" customWidth="1"/>
    <col min="15" max="15" width="3.5703125" style="769" customWidth="1"/>
    <col min="16" max="16" width="18.28515625" style="769" bestFit="1" customWidth="1"/>
    <col min="17" max="16384" width="9.140625" style="769"/>
  </cols>
  <sheetData>
    <row r="1" spans="1:16" ht="18">
      <c r="A1" s="1999" t="s">
        <v>344</v>
      </c>
      <c r="B1" s="2000"/>
      <c r="C1" s="2000"/>
      <c r="D1" s="2000"/>
      <c r="E1" s="2000"/>
      <c r="F1" s="2000"/>
      <c r="G1" s="2000"/>
    </row>
    <row r="2" spans="1:16">
      <c r="H2" s="770"/>
      <c r="I2" s="771"/>
      <c r="J2" s="772"/>
    </row>
    <row r="3" spans="1:16">
      <c r="A3" s="773" t="s">
        <v>1212</v>
      </c>
      <c r="H3" s="770"/>
      <c r="I3" s="771"/>
      <c r="J3" s="772"/>
    </row>
    <row r="4" spans="1:16">
      <c r="A4" s="771"/>
      <c r="B4" s="771"/>
      <c r="C4" s="771"/>
      <c r="D4" s="771"/>
      <c r="E4" s="771"/>
      <c r="F4" s="771"/>
      <c r="G4" s="771"/>
      <c r="H4" s="771"/>
      <c r="I4" s="771"/>
      <c r="J4" s="772"/>
    </row>
    <row r="6" spans="1:16">
      <c r="A6" s="772"/>
      <c r="B6" s="774"/>
      <c r="C6" s="774"/>
      <c r="D6" s="775"/>
      <c r="E6" s="775"/>
      <c r="F6" s="775"/>
      <c r="G6" s="775"/>
      <c r="H6" s="775"/>
      <c r="I6" s="775"/>
      <c r="J6" s="774"/>
    </row>
    <row r="7" spans="1:16" ht="15">
      <c r="A7" s="1154" t="s">
        <v>1216</v>
      </c>
      <c r="B7" s="774" t="s">
        <v>601</v>
      </c>
      <c r="C7" s="774"/>
      <c r="D7" s="774" t="s">
        <v>602</v>
      </c>
      <c r="E7" s="774"/>
      <c r="F7" s="774"/>
      <c r="G7" s="774"/>
      <c r="H7" s="774"/>
      <c r="I7" s="774"/>
      <c r="J7" s="774"/>
      <c r="K7" s="774"/>
      <c r="L7" s="774"/>
    </row>
    <row r="8" spans="1:16">
      <c r="A8" s="772"/>
      <c r="B8" s="774" t="s">
        <v>603</v>
      </c>
      <c r="C8" s="774"/>
      <c r="D8" s="774" t="s">
        <v>604</v>
      </c>
      <c r="E8" s="774"/>
      <c r="F8" s="774" t="s">
        <v>176</v>
      </c>
      <c r="G8" s="774"/>
      <c r="H8" s="774" t="s">
        <v>1213</v>
      </c>
      <c r="I8" s="1337"/>
      <c r="J8" s="774" t="s">
        <v>1214</v>
      </c>
      <c r="K8" s="1337"/>
      <c r="L8" s="774" t="s">
        <v>1215</v>
      </c>
      <c r="N8" s="774" t="s">
        <v>605</v>
      </c>
      <c r="P8" s="774" t="s">
        <v>59</v>
      </c>
    </row>
    <row r="9" spans="1:16">
      <c r="A9" s="772"/>
      <c r="B9" s="774"/>
      <c r="C9" s="774"/>
      <c r="D9" s="774"/>
      <c r="E9" s="774"/>
      <c r="F9" s="774"/>
      <c r="G9" s="774"/>
      <c r="H9" s="774"/>
      <c r="I9" s="1337"/>
      <c r="J9" s="774"/>
      <c r="K9" s="1337"/>
      <c r="L9" s="774"/>
    </row>
    <row r="10" spans="1:16" ht="15">
      <c r="A10" t="s">
        <v>1426</v>
      </c>
      <c r="B10" s="1370">
        <v>127845.55</v>
      </c>
      <c r="C10" s="777"/>
      <c r="D10" s="1370">
        <v>109738.86000000002</v>
      </c>
      <c r="E10" s="777"/>
      <c r="F10" s="1370">
        <v>215654.97</v>
      </c>
      <c r="G10" s="777"/>
      <c r="H10" s="1370">
        <v>339703</v>
      </c>
      <c r="I10" s="777"/>
      <c r="J10" s="1370">
        <v>990316.23</v>
      </c>
      <c r="K10" s="777"/>
      <c r="L10" s="1370">
        <v>363895.57</v>
      </c>
      <c r="M10" s="777"/>
      <c r="N10" s="1370">
        <v>6426377.4000000022</v>
      </c>
      <c r="P10" s="1376">
        <f>SUM(B10:N10)</f>
        <v>8573531.5800000019</v>
      </c>
    </row>
    <row r="11" spans="1:16" ht="15">
      <c r="A11" t="s">
        <v>1427</v>
      </c>
      <c r="B11" s="1371">
        <v>762650.69</v>
      </c>
      <c r="C11" s="1840"/>
      <c r="D11" s="1371">
        <v>654901.55999999994</v>
      </c>
      <c r="E11" s="1841"/>
      <c r="F11" s="1371">
        <v>1286512.97</v>
      </c>
      <c r="G11" s="1841"/>
      <c r="H11" s="1371">
        <v>2052892.3800000001</v>
      </c>
      <c r="I11" s="1372"/>
      <c r="J11" s="1371">
        <v>4973716.7299999995</v>
      </c>
      <c r="K11" s="1372"/>
      <c r="L11" s="1371">
        <v>1997392.6500000001</v>
      </c>
      <c r="M11" s="1372"/>
      <c r="N11" s="1371">
        <v>16154224.849999992</v>
      </c>
      <c r="P11" s="1376">
        <f t="shared" ref="P11:P29" si="0">SUM(B11:N11)</f>
        <v>27882291.829999991</v>
      </c>
    </row>
    <row r="12" spans="1:16" ht="15">
      <c r="A12" t="s">
        <v>1428</v>
      </c>
      <c r="B12" s="1373">
        <v>352004.43999999994</v>
      </c>
      <c r="C12" s="1374"/>
      <c r="D12" s="1373">
        <v>302172.3</v>
      </c>
      <c r="E12" s="1375"/>
      <c r="F12" s="1373">
        <v>593742.24</v>
      </c>
      <c r="G12" s="1375"/>
      <c r="H12" s="1373">
        <v>935143.71000000008</v>
      </c>
      <c r="I12" s="1372"/>
      <c r="J12" s="1373">
        <v>2215929.44</v>
      </c>
      <c r="K12" s="1372"/>
      <c r="L12" s="1373">
        <v>921360.33000000007</v>
      </c>
      <c r="M12" s="1372"/>
      <c r="N12" s="1373">
        <v>12714357.409999996</v>
      </c>
      <c r="P12" s="1376">
        <f t="shared" si="0"/>
        <v>18034709.869999997</v>
      </c>
    </row>
    <row r="13" spans="1:16" ht="15">
      <c r="A13" t="s">
        <v>1429</v>
      </c>
      <c r="B13" s="1371">
        <v>298181.89999999997</v>
      </c>
      <c r="C13" s="1374"/>
      <c r="D13" s="1371">
        <v>256756.37</v>
      </c>
      <c r="E13" s="1375"/>
      <c r="F13" s="1371">
        <v>500862.14999999997</v>
      </c>
      <c r="G13" s="1375"/>
      <c r="H13" s="1371">
        <v>809575</v>
      </c>
      <c r="I13" s="1372"/>
      <c r="J13" s="1371">
        <v>1975065.6200000003</v>
      </c>
      <c r="K13" s="1372"/>
      <c r="L13" s="1371">
        <v>807952.26</v>
      </c>
      <c r="M13" s="1372"/>
      <c r="N13" s="1371">
        <v>4213000.3899999997</v>
      </c>
      <c r="P13" s="1376">
        <f t="shared" si="0"/>
        <v>8861393.6899999995</v>
      </c>
    </row>
    <row r="14" spans="1:16" ht="15">
      <c r="A14" t="s">
        <v>1430</v>
      </c>
      <c r="B14" s="1373">
        <v>1067186.94</v>
      </c>
      <c r="C14" s="1374"/>
      <c r="D14" s="1373">
        <v>916339</v>
      </c>
      <c r="E14" s="1375"/>
      <c r="F14" s="1373">
        <v>1800076.41</v>
      </c>
      <c r="G14" s="1375"/>
      <c r="H14" s="1373">
        <v>2837221.7300000004</v>
      </c>
      <c r="I14" s="1372"/>
      <c r="J14" s="1373">
        <v>6718398.2699999996</v>
      </c>
      <c r="K14" s="1372"/>
      <c r="L14" s="1373">
        <v>2796164.86</v>
      </c>
      <c r="M14" s="1372"/>
      <c r="N14" s="1373">
        <v>32760795.57</v>
      </c>
      <c r="P14" s="1376">
        <f t="shared" si="0"/>
        <v>48896182.780000001</v>
      </c>
    </row>
    <row r="15" spans="1:16" ht="15">
      <c r="A15" t="s">
        <v>1431</v>
      </c>
      <c r="B15" s="1371">
        <v>258169.36999999997</v>
      </c>
      <c r="C15" s="1374"/>
      <c r="D15" s="1371">
        <v>221605.49000000002</v>
      </c>
      <c r="E15" s="1375"/>
      <c r="F15" s="1371">
        <v>435218.57999999996</v>
      </c>
      <c r="G15" s="1375"/>
      <c r="H15" s="1371">
        <v>686234.03999999992</v>
      </c>
      <c r="I15" s="1372"/>
      <c r="J15" s="1371">
        <v>1621421.88</v>
      </c>
      <c r="K15" s="1372"/>
      <c r="L15" s="1371">
        <v>675344.63</v>
      </c>
      <c r="M15" s="1372"/>
      <c r="N15" s="1371">
        <v>3863095.310000001</v>
      </c>
      <c r="P15" s="1376">
        <f t="shared" si="0"/>
        <v>7761089.3000000007</v>
      </c>
    </row>
    <row r="16" spans="1:16" ht="15">
      <c r="A16" t="s">
        <v>1432</v>
      </c>
      <c r="B16" s="1373">
        <v>2310436.96</v>
      </c>
      <c r="C16" s="1374"/>
      <c r="D16" s="1373">
        <v>1983376.51</v>
      </c>
      <c r="E16" s="1375"/>
      <c r="F16" s="1373">
        <v>3897063.1900000004</v>
      </c>
      <c r="G16" s="1375"/>
      <c r="H16" s="1373">
        <v>6169828.5699999994</v>
      </c>
      <c r="I16" s="1372"/>
      <c r="J16" s="1373">
        <v>14555009.16</v>
      </c>
      <c r="K16" s="1372"/>
      <c r="L16" s="1373">
        <v>6052047.7399999993</v>
      </c>
      <c r="M16" s="1372"/>
      <c r="N16" s="1373">
        <v>34789888.869999982</v>
      </c>
      <c r="P16" s="1376">
        <f t="shared" si="0"/>
        <v>69757650.999999985</v>
      </c>
    </row>
    <row r="17" spans="1:16" ht="15">
      <c r="A17" t="s">
        <v>1434</v>
      </c>
      <c r="B17" s="1371">
        <v>5295390.4499999993</v>
      </c>
      <c r="C17" s="1374"/>
      <c r="D17" s="1371">
        <v>4104781.8399999994</v>
      </c>
      <c r="E17" s="1375"/>
      <c r="F17" s="1371">
        <v>7342035.4100000001</v>
      </c>
      <c r="G17" s="1375"/>
      <c r="H17" s="1371">
        <v>12995106.430000002</v>
      </c>
      <c r="I17" s="1372"/>
      <c r="J17" s="1371">
        <v>27314431.940000005</v>
      </c>
      <c r="K17" s="1372"/>
      <c r="L17" s="1371">
        <v>11965229.779999999</v>
      </c>
      <c r="M17" s="1372"/>
      <c r="N17" s="1371">
        <v>1878832.2199999839</v>
      </c>
      <c r="P17" s="1376">
        <f t="shared" si="0"/>
        <v>70895808.069999993</v>
      </c>
    </row>
    <row r="18" spans="1:16" ht="15">
      <c r="A18" t="s">
        <v>1433</v>
      </c>
      <c r="B18" s="1373">
        <v>0</v>
      </c>
      <c r="C18" s="1374"/>
      <c r="D18" s="1373">
        <v>0</v>
      </c>
      <c r="E18" s="1375"/>
      <c r="F18" s="1373">
        <v>0</v>
      </c>
      <c r="G18" s="1375"/>
      <c r="H18" s="1373">
        <v>0</v>
      </c>
      <c r="I18" s="1372"/>
      <c r="J18" s="1373">
        <v>0</v>
      </c>
      <c r="K18" s="1372"/>
      <c r="L18" s="1373">
        <v>0</v>
      </c>
      <c r="M18" s="1372"/>
      <c r="N18" s="1373">
        <v>11385.610000000004</v>
      </c>
      <c r="P18" s="1376">
        <f t="shared" si="0"/>
        <v>11385.610000000004</v>
      </c>
    </row>
    <row r="19" spans="1:16" ht="15">
      <c r="A19" t="s">
        <v>1435</v>
      </c>
      <c r="B19" s="1371">
        <v>6738123.8899999997</v>
      </c>
      <c r="C19" s="1374"/>
      <c r="D19" s="1371">
        <v>5976671.79</v>
      </c>
      <c r="E19" s="1375"/>
      <c r="F19" s="1371">
        <v>11887327.699999999</v>
      </c>
      <c r="G19" s="1375"/>
      <c r="H19" s="1371">
        <v>17142474.18</v>
      </c>
      <c r="I19" s="1372"/>
      <c r="J19" s="1371">
        <v>32323665.369999997</v>
      </c>
      <c r="K19" s="1372"/>
      <c r="L19" s="1371">
        <v>15159127.759999998</v>
      </c>
      <c r="M19" s="1372"/>
      <c r="N19" s="1371">
        <v>79087183.729999989</v>
      </c>
      <c r="P19" s="1376">
        <f t="shared" si="0"/>
        <v>168314574.41999999</v>
      </c>
    </row>
    <row r="20" spans="1:16" ht="15">
      <c r="A20" t="s">
        <v>1436</v>
      </c>
      <c r="B20" s="1373">
        <v>1411098.0499999996</v>
      </c>
      <c r="C20" s="1374"/>
      <c r="D20" s="1373">
        <v>1172131.2</v>
      </c>
      <c r="E20" s="1375"/>
      <c r="F20" s="1373">
        <v>2053744.8499999996</v>
      </c>
      <c r="G20" s="1375"/>
      <c r="H20" s="1373">
        <v>3929953.71</v>
      </c>
      <c r="I20" s="1372"/>
      <c r="J20" s="1373">
        <v>7096169.4899999993</v>
      </c>
      <c r="K20" s="1372"/>
      <c r="L20" s="1373">
        <v>3233864.2599999993</v>
      </c>
      <c r="M20" s="1372"/>
      <c r="N20" s="1373">
        <v>16477099.820000008</v>
      </c>
      <c r="P20" s="1376">
        <f t="shared" si="0"/>
        <v>35374061.380000003</v>
      </c>
    </row>
    <row r="21" spans="1:16" ht="15">
      <c r="A21" t="s">
        <v>1437</v>
      </c>
      <c r="B21" s="1371">
        <v>345943.64999999997</v>
      </c>
      <c r="C21" s="1374"/>
      <c r="D21" s="1371">
        <v>296509.83999999997</v>
      </c>
      <c r="E21" s="1375"/>
      <c r="F21" s="1371">
        <v>582730.86</v>
      </c>
      <c r="G21" s="1375"/>
      <c r="H21" s="1371">
        <v>957438.06999999972</v>
      </c>
      <c r="I21" s="1372"/>
      <c r="J21" s="1371">
        <v>28216108.990000002</v>
      </c>
      <c r="K21" s="1372"/>
      <c r="L21" s="1371">
        <v>943947.55</v>
      </c>
      <c r="M21" s="1372"/>
      <c r="N21" s="1371">
        <v>5270666.8099999912</v>
      </c>
      <c r="P21" s="1376">
        <f t="shared" si="0"/>
        <v>36613345.769999996</v>
      </c>
    </row>
    <row r="22" spans="1:16" ht="15">
      <c r="A22" t="s">
        <v>1438</v>
      </c>
      <c r="B22" s="1373">
        <v>2550451.9700000002</v>
      </c>
      <c r="C22" s="1374"/>
      <c r="D22" s="1373">
        <v>1763810.2900000003</v>
      </c>
      <c r="E22" s="1375"/>
      <c r="F22" s="1373">
        <v>3903526.0800000005</v>
      </c>
      <c r="G22" s="1375"/>
      <c r="H22" s="1373">
        <v>7845651.3000000017</v>
      </c>
      <c r="I22" s="1372"/>
      <c r="J22" s="1373">
        <v>15918302.809999999</v>
      </c>
      <c r="K22" s="1372"/>
      <c r="L22" s="1373">
        <v>6995422.54</v>
      </c>
      <c r="M22" s="1372"/>
      <c r="N22" s="1373">
        <v>33239108.529999994</v>
      </c>
      <c r="P22" s="1376">
        <f t="shared" si="0"/>
        <v>72216273.519999996</v>
      </c>
    </row>
    <row r="23" spans="1:16" ht="15">
      <c r="A23" t="s">
        <v>1439</v>
      </c>
      <c r="B23" s="1371">
        <v>79147301.920000002</v>
      </c>
      <c r="C23" s="1841"/>
      <c r="D23" s="1371">
        <v>63950797.020000003</v>
      </c>
      <c r="E23" s="1842"/>
      <c r="F23" s="1371">
        <v>99035027.470000014</v>
      </c>
      <c r="G23" s="1842"/>
      <c r="H23" s="1371">
        <v>236284717.38</v>
      </c>
      <c r="I23" s="1372"/>
      <c r="J23" s="1371">
        <v>306043483.47000003</v>
      </c>
      <c r="K23" s="1372"/>
      <c r="L23" s="1371">
        <v>165083554.33000001</v>
      </c>
      <c r="M23" s="1372"/>
      <c r="N23" s="1371">
        <v>338041323.27999985</v>
      </c>
      <c r="P23" s="1376">
        <f t="shared" si="0"/>
        <v>1287586204.8699999</v>
      </c>
    </row>
    <row r="24" spans="1:16" ht="15">
      <c r="A24" t="s">
        <v>1440</v>
      </c>
      <c r="B24" s="1373">
        <v>63679.01</v>
      </c>
      <c r="C24" s="1374"/>
      <c r="D24" s="1373">
        <v>54664.319999999992</v>
      </c>
      <c r="E24" s="1375"/>
      <c r="F24" s="1373">
        <v>107410.10999999999</v>
      </c>
      <c r="G24" s="1375"/>
      <c r="H24" s="1373">
        <v>169171.01</v>
      </c>
      <c r="I24" s="1372"/>
      <c r="J24" s="1373">
        <v>400869.51999999996</v>
      </c>
      <c r="K24" s="1372"/>
      <c r="L24" s="1373">
        <v>166677.24</v>
      </c>
      <c r="M24" s="1372"/>
      <c r="N24" s="1373">
        <v>871642.84000000008</v>
      </c>
      <c r="P24" s="1376">
        <f t="shared" si="0"/>
        <v>1834114.05</v>
      </c>
    </row>
    <row r="25" spans="1:16" ht="15">
      <c r="A25" t="s">
        <v>1441</v>
      </c>
      <c r="B25" s="1371">
        <v>1344037.2399999998</v>
      </c>
      <c r="C25" s="1841"/>
      <c r="D25" s="1371">
        <v>1263137.53</v>
      </c>
      <c r="E25" s="1842"/>
      <c r="F25" s="1371">
        <v>2358003.34</v>
      </c>
      <c r="G25" s="1842"/>
      <c r="H25" s="1371">
        <v>2859075.5300000003</v>
      </c>
      <c r="I25" s="1372"/>
      <c r="J25" s="1371">
        <v>5690047.2299999995</v>
      </c>
      <c r="K25" s="1372"/>
      <c r="L25" s="1371">
        <v>3150585.0300000003</v>
      </c>
      <c r="M25" s="1372"/>
      <c r="N25" s="1371">
        <v>16970667.979999997</v>
      </c>
      <c r="P25" s="1376">
        <f t="shared" si="0"/>
        <v>33635553.879999995</v>
      </c>
    </row>
    <row r="26" spans="1:16" ht="15">
      <c r="A26" t="s">
        <v>1442</v>
      </c>
      <c r="B26" s="1843">
        <v>413827.61</v>
      </c>
      <c r="C26" s="1841"/>
      <c r="D26" s="1843">
        <v>265231.8</v>
      </c>
      <c r="E26" s="1842"/>
      <c r="F26" s="1843">
        <v>480745.35</v>
      </c>
      <c r="G26" s="1842"/>
      <c r="H26" s="1843">
        <v>1162390.1499999999</v>
      </c>
      <c r="I26" s="1372"/>
      <c r="J26" s="1843">
        <v>2151722.31</v>
      </c>
      <c r="K26" s="1372"/>
      <c r="L26" s="1843">
        <v>1367607.8099999998</v>
      </c>
      <c r="M26" s="1372"/>
      <c r="N26" s="1843">
        <v>6012687.2800000031</v>
      </c>
      <c r="P26" s="1376">
        <f t="shared" si="0"/>
        <v>11854212.310000002</v>
      </c>
    </row>
    <row r="27" spans="1:16" ht="15">
      <c r="A27" t="s">
        <v>1443</v>
      </c>
      <c r="B27" s="1371">
        <v>691692.99</v>
      </c>
      <c r="C27" s="1841"/>
      <c r="D27" s="1371">
        <v>593772.7300000001</v>
      </c>
      <c r="E27" s="1842"/>
      <c r="F27" s="1371">
        <v>1166710</v>
      </c>
      <c r="G27" s="1842"/>
      <c r="H27" s="1371">
        <v>1837572.48</v>
      </c>
      <c r="I27" s="1372"/>
      <c r="J27" s="1371">
        <v>4372931.38</v>
      </c>
      <c r="K27" s="1372"/>
      <c r="L27" s="1371">
        <v>1810484.5699999998</v>
      </c>
      <c r="M27" s="1372"/>
      <c r="N27" s="1371">
        <v>11181392.649999997</v>
      </c>
      <c r="P27" s="1376">
        <f t="shared" si="0"/>
        <v>21654556.799999997</v>
      </c>
    </row>
    <row r="28" spans="1:16" ht="15">
      <c r="A28" t="s">
        <v>1444</v>
      </c>
      <c r="B28" s="1843">
        <v>1652112.4100000004</v>
      </c>
      <c r="C28" s="1841"/>
      <c r="D28" s="1843">
        <v>1368925.03</v>
      </c>
      <c r="E28" s="1842"/>
      <c r="F28" s="1843">
        <v>2836658.8600000003</v>
      </c>
      <c r="G28" s="1842"/>
      <c r="H28" s="1843">
        <v>4077442.5299999993</v>
      </c>
      <c r="I28" s="1372"/>
      <c r="J28" s="1843">
        <v>9370383.5800000001</v>
      </c>
      <c r="K28" s="1372"/>
      <c r="L28" s="1843">
        <v>4113795.1500000004</v>
      </c>
      <c r="M28" s="1372"/>
      <c r="N28" s="1843">
        <v>66670955.769999996</v>
      </c>
      <c r="P28" s="1376">
        <f t="shared" si="0"/>
        <v>90090273.329999998</v>
      </c>
    </row>
    <row r="29" spans="1:16" ht="15">
      <c r="A29" s="1378" t="s">
        <v>1445</v>
      </c>
      <c r="B29" s="1379">
        <v>0</v>
      </c>
      <c r="C29" s="1844"/>
      <c r="D29" s="1379">
        <v>0</v>
      </c>
      <c r="E29" s="1845"/>
      <c r="F29" s="1379">
        <v>0</v>
      </c>
      <c r="G29" s="1845"/>
      <c r="H29" s="1379">
        <v>0</v>
      </c>
      <c r="I29" s="1380"/>
      <c r="J29" s="1379">
        <v>23923.260000000002</v>
      </c>
      <c r="K29" s="1380"/>
      <c r="L29" s="1379">
        <v>0</v>
      </c>
      <c r="M29" s="1380"/>
      <c r="N29" s="1379">
        <v>0</v>
      </c>
      <c r="O29" s="1381"/>
      <c r="P29" s="1382">
        <f t="shared" si="0"/>
        <v>23923.260000000002</v>
      </c>
    </row>
    <row r="30" spans="1:16" ht="15">
      <c r="A30" s="1377" t="s">
        <v>59</v>
      </c>
      <c r="B30" s="781">
        <f>SUM(B10:B29)</f>
        <v>104830135.03999999</v>
      </c>
      <c r="C30" s="781">
        <f t="shared" ref="C30:P30" si="1">SUM(C10:C29)</f>
        <v>0</v>
      </c>
      <c r="D30" s="781">
        <f t="shared" si="1"/>
        <v>85255323.479999989</v>
      </c>
      <c r="E30" s="781">
        <f t="shared" si="1"/>
        <v>0</v>
      </c>
      <c r="F30" s="781">
        <f t="shared" si="1"/>
        <v>140483050.54000002</v>
      </c>
      <c r="G30" s="781">
        <f t="shared" si="1"/>
        <v>0</v>
      </c>
      <c r="H30" s="781">
        <f t="shared" si="1"/>
        <v>303091591.19999993</v>
      </c>
      <c r="I30" s="781">
        <f t="shared" si="1"/>
        <v>0</v>
      </c>
      <c r="J30" s="781">
        <f t="shared" si="1"/>
        <v>471971896.68000001</v>
      </c>
      <c r="K30" s="781">
        <f t="shared" si="1"/>
        <v>0</v>
      </c>
      <c r="L30" s="781">
        <f t="shared" si="1"/>
        <v>227604454.06</v>
      </c>
      <c r="M30" s="781">
        <f t="shared" si="1"/>
        <v>0</v>
      </c>
      <c r="N30" s="781">
        <f t="shared" si="1"/>
        <v>686634686.31999981</v>
      </c>
      <c r="O30" s="781">
        <f t="shared" si="1"/>
        <v>0</v>
      </c>
      <c r="P30" s="781">
        <f t="shared" si="1"/>
        <v>2019871137.3199997</v>
      </c>
    </row>
    <row r="31" spans="1:16" ht="15">
      <c r="A31" s="780"/>
      <c r="B31" s="790"/>
      <c r="C31" s="783"/>
      <c r="D31" s="790"/>
      <c r="E31" s="790"/>
      <c r="F31" s="790"/>
      <c r="G31" s="790"/>
      <c r="H31" s="784"/>
      <c r="I31" s="787"/>
      <c r="J31" s="785"/>
      <c r="K31" s="786"/>
    </row>
    <row r="32" spans="1:16" ht="15">
      <c r="A32" s="780"/>
      <c r="B32" s="781"/>
      <c r="C32" s="783"/>
      <c r="D32" s="781"/>
      <c r="E32" s="790"/>
      <c r="F32" s="781"/>
      <c r="G32" s="790"/>
      <c r="H32" s="784"/>
      <c r="I32" s="787"/>
      <c r="J32" s="785"/>
      <c r="K32" s="786"/>
    </row>
    <row r="33" spans="1:12" ht="15">
      <c r="A33" s="780"/>
      <c r="B33" s="790"/>
      <c r="C33" s="783"/>
      <c r="D33" s="790"/>
      <c r="E33" s="790"/>
      <c r="F33" s="790"/>
      <c r="G33" s="790"/>
      <c r="H33" s="784"/>
      <c r="I33" s="787"/>
      <c r="J33" s="785"/>
      <c r="K33" s="786"/>
    </row>
    <row r="34" spans="1:12" ht="15">
      <c r="A34" s="780"/>
      <c r="B34" s="781"/>
      <c r="C34" s="783"/>
      <c r="D34" s="781"/>
      <c r="E34" s="790"/>
      <c r="F34" s="781"/>
      <c r="G34" s="790"/>
      <c r="H34" s="784"/>
      <c r="I34" s="787"/>
      <c r="J34" s="785"/>
      <c r="K34" s="786"/>
    </row>
    <row r="35" spans="1:12" ht="15">
      <c r="A35" s="780"/>
      <c r="B35" s="790"/>
      <c r="C35" s="783"/>
      <c r="D35" s="790"/>
      <c r="E35" s="790"/>
      <c r="F35" s="790"/>
      <c r="G35" s="790"/>
      <c r="H35" s="784"/>
      <c r="I35" s="787"/>
      <c r="J35" s="785"/>
      <c r="K35" s="786"/>
    </row>
    <row r="36" spans="1:12" ht="15">
      <c r="A36" s="780"/>
      <c r="B36" s="781"/>
      <c r="C36" s="783"/>
      <c r="D36" s="781"/>
      <c r="E36" s="790"/>
      <c r="F36" s="781"/>
      <c r="G36" s="790"/>
      <c r="H36" s="784"/>
      <c r="I36" s="787"/>
      <c r="J36" s="785"/>
      <c r="K36" s="786"/>
    </row>
    <row r="37" spans="1:12" ht="15">
      <c r="A37" s="780"/>
      <c r="B37" s="790"/>
      <c r="C37" s="783"/>
      <c r="D37" s="790"/>
      <c r="E37" s="790"/>
      <c r="F37" s="790"/>
      <c r="G37" s="790"/>
      <c r="H37" s="784"/>
      <c r="I37" s="787"/>
      <c r="J37" s="785"/>
      <c r="K37" s="786"/>
    </row>
    <row r="38" spans="1:12" ht="15">
      <c r="A38" s="780"/>
      <c r="B38" s="781"/>
      <c r="C38" s="783"/>
      <c r="D38" s="781"/>
      <c r="E38" s="790"/>
      <c r="F38" s="781"/>
      <c r="G38" s="790"/>
      <c r="H38" s="784"/>
      <c r="I38" s="787"/>
      <c r="J38" s="785"/>
      <c r="K38" s="786"/>
    </row>
    <row r="39" spans="1:12" ht="15">
      <c r="A39" s="780"/>
      <c r="B39" s="790"/>
      <c r="C39" s="783"/>
      <c r="D39" s="790"/>
      <c r="E39" s="790"/>
      <c r="F39" s="790"/>
      <c r="G39" s="790"/>
      <c r="H39" s="791"/>
      <c r="I39" s="787"/>
      <c r="J39" s="785"/>
      <c r="K39" s="786"/>
    </row>
    <row r="40" spans="1:12" ht="15">
      <c r="A40"/>
      <c r="B40"/>
      <c r="C40"/>
      <c r="D40"/>
      <c r="E40"/>
      <c r="F40"/>
      <c r="G40"/>
      <c r="H40"/>
      <c r="I40"/>
      <c r="J40"/>
      <c r="K40"/>
      <c r="L40"/>
    </row>
    <row r="41" spans="1:12" ht="15">
      <c r="A41"/>
      <c r="B41"/>
      <c r="C41"/>
      <c r="D41"/>
      <c r="E41"/>
      <c r="F41"/>
      <c r="G41"/>
      <c r="H41"/>
      <c r="I41"/>
      <c r="J41"/>
      <c r="K41"/>
      <c r="L41"/>
    </row>
    <row r="42" spans="1:12" ht="15">
      <c r="A42"/>
      <c r="B42"/>
      <c r="C42"/>
      <c r="D42"/>
      <c r="E42"/>
      <c r="F42"/>
      <c r="G42"/>
      <c r="H42"/>
      <c r="I42"/>
      <c r="J42"/>
      <c r="K42"/>
      <c r="L42"/>
    </row>
    <row r="43" spans="1:12" ht="15">
      <c r="A43"/>
      <c r="B43"/>
      <c r="C43"/>
      <c r="D43"/>
      <c r="E43"/>
      <c r="F43"/>
      <c r="G43"/>
      <c r="H43"/>
      <c r="I43"/>
      <c r="J43"/>
      <c r="K43"/>
      <c r="L43"/>
    </row>
    <row r="44" spans="1:12">
      <c r="B44" s="793"/>
      <c r="C44" s="793"/>
      <c r="D44" s="793"/>
      <c r="E44" s="793"/>
      <c r="F44" s="793"/>
      <c r="G44" s="793"/>
      <c r="H44" s="794"/>
      <c r="I44" s="794"/>
      <c r="J44" s="793"/>
    </row>
    <row r="45" spans="1:12">
      <c r="B45" s="793"/>
      <c r="C45" s="793"/>
      <c r="D45" s="793"/>
      <c r="E45" s="793"/>
      <c r="F45" s="793"/>
      <c r="G45" s="793"/>
      <c r="H45" s="794"/>
      <c r="I45" s="794"/>
      <c r="J45" s="793"/>
    </row>
    <row r="46" spans="1:12">
      <c r="B46" s="793"/>
      <c r="C46" s="793"/>
      <c r="D46" s="793"/>
      <c r="E46" s="793"/>
      <c r="F46" s="793"/>
      <c r="G46" s="793"/>
      <c r="H46" s="794"/>
      <c r="I46" s="794"/>
      <c r="J46" s="793"/>
    </row>
    <row r="47" spans="1:12">
      <c r="B47" s="793"/>
      <c r="C47" s="793"/>
      <c r="D47" s="793"/>
      <c r="E47" s="793"/>
      <c r="F47" s="793"/>
      <c r="G47" s="793"/>
      <c r="H47" s="794"/>
      <c r="I47" s="794"/>
      <c r="J47" s="793"/>
    </row>
    <row r="48" spans="1:12">
      <c r="B48" s="793"/>
      <c r="C48" s="793"/>
      <c r="D48" s="793"/>
      <c r="E48" s="793"/>
      <c r="F48" s="793"/>
      <c r="G48" s="793"/>
      <c r="H48" s="794"/>
      <c r="I48" s="794"/>
      <c r="J48" s="793"/>
    </row>
    <row r="49" spans="2:10">
      <c r="B49" s="793"/>
      <c r="C49" s="793"/>
      <c r="D49" s="793"/>
      <c r="E49" s="793"/>
      <c r="F49" s="793"/>
      <c r="G49" s="793"/>
      <c r="H49" s="794"/>
      <c r="I49" s="794"/>
      <c r="J49" s="793"/>
    </row>
    <row r="50" spans="2:10">
      <c r="B50" s="793"/>
      <c r="C50" s="793"/>
      <c r="D50" s="793"/>
      <c r="E50" s="793"/>
      <c r="F50" s="793"/>
      <c r="G50" s="793"/>
      <c r="H50" s="794"/>
      <c r="I50" s="794"/>
      <c r="J50" s="793"/>
    </row>
    <row r="51" spans="2:10">
      <c r="B51" s="793"/>
      <c r="C51" s="793"/>
      <c r="D51" s="793"/>
      <c r="E51" s="793"/>
      <c r="F51" s="793"/>
      <c r="G51" s="793"/>
      <c r="H51" s="794"/>
      <c r="I51" s="794"/>
      <c r="J51" s="793"/>
    </row>
    <row r="52" spans="2:10">
      <c r="B52" s="793"/>
      <c r="C52" s="793"/>
      <c r="D52" s="793"/>
      <c r="E52" s="793"/>
      <c r="F52" s="793"/>
      <c r="G52" s="793"/>
      <c r="H52" s="794"/>
      <c r="I52" s="794"/>
      <c r="J52" s="793"/>
    </row>
    <row r="53" spans="2:10">
      <c r="B53" s="793"/>
      <c r="C53" s="793"/>
      <c r="D53" s="793"/>
      <c r="E53" s="793"/>
      <c r="F53" s="793"/>
      <c r="G53" s="793"/>
      <c r="H53" s="794"/>
      <c r="I53" s="794"/>
      <c r="J53" s="793"/>
    </row>
    <row r="54" spans="2:10">
      <c r="B54" s="793"/>
      <c r="C54" s="793"/>
      <c r="D54" s="793"/>
      <c r="E54" s="793"/>
      <c r="F54" s="793"/>
      <c r="G54" s="793"/>
      <c r="H54" s="794"/>
      <c r="I54" s="794"/>
      <c r="J54" s="793"/>
    </row>
    <row r="55" spans="2:10">
      <c r="B55" s="793"/>
      <c r="C55" s="793"/>
      <c r="D55" s="793"/>
      <c r="E55" s="793"/>
      <c r="F55" s="793"/>
      <c r="G55" s="793"/>
      <c r="H55" s="794"/>
      <c r="I55" s="794"/>
      <c r="J55" s="793"/>
    </row>
    <row r="56" spans="2:10">
      <c r="B56" s="793"/>
      <c r="C56" s="793"/>
      <c r="D56" s="793"/>
      <c r="E56" s="793"/>
      <c r="F56" s="793"/>
      <c r="G56" s="793"/>
      <c r="H56" s="794"/>
      <c r="I56" s="794"/>
      <c r="J56" s="793"/>
    </row>
    <row r="57" spans="2:10">
      <c r="B57" s="793"/>
      <c r="C57" s="793"/>
      <c r="D57" s="793"/>
      <c r="E57" s="793"/>
      <c r="F57" s="793"/>
      <c r="G57" s="793"/>
      <c r="H57" s="794"/>
      <c r="I57" s="794"/>
      <c r="J57" s="793"/>
    </row>
    <row r="58" spans="2:10">
      <c r="B58" s="793"/>
      <c r="C58" s="793"/>
      <c r="D58" s="793"/>
      <c r="E58" s="793"/>
      <c r="F58" s="793"/>
      <c r="G58" s="793"/>
      <c r="H58" s="794"/>
      <c r="I58" s="794"/>
      <c r="J58" s="793"/>
    </row>
    <row r="59" spans="2:10">
      <c r="B59" s="793"/>
      <c r="C59" s="793"/>
      <c r="D59" s="793"/>
      <c r="E59" s="793"/>
      <c r="F59" s="793"/>
      <c r="G59" s="793"/>
      <c r="H59" s="794"/>
      <c r="I59" s="794"/>
      <c r="J59" s="793"/>
    </row>
    <row r="60" spans="2:10">
      <c r="B60" s="793"/>
      <c r="C60" s="793"/>
      <c r="D60" s="793"/>
      <c r="E60" s="793"/>
      <c r="F60" s="793"/>
      <c r="G60" s="793"/>
      <c r="H60" s="794"/>
      <c r="I60" s="794"/>
      <c r="J60" s="793"/>
    </row>
    <row r="61" spans="2:10">
      <c r="B61" s="793"/>
      <c r="C61" s="793"/>
      <c r="D61" s="793"/>
      <c r="E61" s="793"/>
      <c r="F61" s="793"/>
      <c r="G61" s="793"/>
      <c r="H61" s="794"/>
      <c r="I61" s="794"/>
      <c r="J61" s="793"/>
    </row>
    <row r="62" spans="2:10">
      <c r="B62" s="793"/>
      <c r="C62" s="793"/>
      <c r="D62" s="793"/>
      <c r="E62" s="793"/>
      <c r="F62" s="793"/>
      <c r="G62" s="793"/>
      <c r="H62" s="794"/>
      <c r="I62" s="794"/>
      <c r="J62" s="793"/>
    </row>
    <row r="63" spans="2:10">
      <c r="B63" s="793"/>
      <c r="C63" s="793"/>
      <c r="D63" s="793"/>
      <c r="E63" s="793"/>
      <c r="F63" s="793"/>
      <c r="G63" s="793"/>
      <c r="H63" s="794"/>
      <c r="I63" s="794"/>
      <c r="J63" s="793"/>
    </row>
    <row r="64" spans="2:10">
      <c r="B64" s="793"/>
      <c r="C64" s="793"/>
      <c r="D64" s="793"/>
      <c r="E64" s="793"/>
      <c r="F64" s="793"/>
      <c r="G64" s="793"/>
      <c r="H64" s="794"/>
      <c r="I64" s="794"/>
      <c r="J64" s="793"/>
    </row>
    <row r="65" spans="2:10">
      <c r="B65" s="793"/>
      <c r="C65" s="793"/>
      <c r="D65" s="793"/>
      <c r="E65" s="793"/>
      <c r="F65" s="793"/>
      <c r="G65" s="793"/>
      <c r="H65" s="794"/>
      <c r="I65" s="794"/>
      <c r="J65" s="793"/>
    </row>
    <row r="66" spans="2:10">
      <c r="B66" s="793"/>
      <c r="C66" s="793"/>
      <c r="D66" s="793"/>
      <c r="E66" s="793"/>
      <c r="F66" s="793"/>
      <c r="G66" s="793"/>
      <c r="H66" s="794"/>
      <c r="I66" s="794"/>
      <c r="J66" s="793"/>
    </row>
    <row r="67" spans="2:10">
      <c r="B67" s="793"/>
      <c r="C67" s="793"/>
      <c r="D67" s="793"/>
      <c r="E67" s="793"/>
      <c r="F67" s="793"/>
      <c r="G67" s="793"/>
      <c r="H67" s="794"/>
      <c r="I67" s="794"/>
      <c r="J67" s="793"/>
    </row>
    <row r="68" spans="2:10">
      <c r="B68" s="793"/>
      <c r="C68" s="793"/>
      <c r="D68" s="793"/>
      <c r="E68" s="793"/>
      <c r="F68" s="793"/>
      <c r="G68" s="793"/>
      <c r="H68" s="794"/>
      <c r="I68" s="794"/>
      <c r="J68" s="793"/>
    </row>
    <row r="69" spans="2:10">
      <c r="B69" s="793"/>
      <c r="C69" s="793"/>
      <c r="D69" s="793"/>
      <c r="E69" s="793"/>
      <c r="F69" s="793"/>
      <c r="G69" s="793"/>
      <c r="H69" s="794"/>
      <c r="I69" s="794"/>
      <c r="J69" s="793"/>
    </row>
    <row r="70" spans="2:10">
      <c r="B70" s="793"/>
      <c r="C70" s="793"/>
      <c r="D70" s="793"/>
      <c r="E70" s="793"/>
      <c r="F70" s="793"/>
      <c r="G70" s="793"/>
      <c r="H70" s="794"/>
      <c r="I70" s="794"/>
      <c r="J70" s="793"/>
    </row>
    <row r="71" spans="2:10">
      <c r="B71" s="793"/>
      <c r="C71" s="793"/>
      <c r="D71" s="793"/>
      <c r="E71" s="793"/>
      <c r="F71" s="793"/>
      <c r="G71" s="793"/>
      <c r="H71" s="794"/>
      <c r="I71" s="794"/>
      <c r="J71" s="793"/>
    </row>
    <row r="72" spans="2:10">
      <c r="B72" s="793"/>
      <c r="C72" s="793"/>
      <c r="D72" s="793"/>
      <c r="E72" s="793"/>
      <c r="F72" s="793"/>
      <c r="G72" s="793"/>
      <c r="H72" s="794"/>
      <c r="I72" s="794"/>
      <c r="J72" s="793"/>
    </row>
    <row r="73" spans="2:10">
      <c r="B73" s="793"/>
      <c r="C73" s="793"/>
      <c r="D73" s="793"/>
      <c r="E73" s="793"/>
      <c r="F73" s="793"/>
      <c r="G73" s="793"/>
      <c r="H73" s="794"/>
      <c r="I73" s="794"/>
      <c r="J73" s="793"/>
    </row>
    <row r="74" spans="2:10">
      <c r="B74" s="793"/>
      <c r="C74" s="793"/>
      <c r="D74" s="793"/>
      <c r="E74" s="793"/>
      <c r="F74" s="793"/>
      <c r="G74" s="793"/>
      <c r="H74" s="794"/>
      <c r="I74" s="794"/>
      <c r="J74" s="793"/>
    </row>
    <row r="75" spans="2:10">
      <c r="B75" s="793"/>
      <c r="C75" s="793"/>
      <c r="D75" s="793"/>
      <c r="E75" s="793"/>
      <c r="F75" s="793"/>
      <c r="G75" s="793"/>
      <c r="H75" s="794"/>
      <c r="I75" s="794"/>
      <c r="J75" s="793"/>
    </row>
    <row r="76" spans="2:10">
      <c r="B76" s="793"/>
      <c r="C76" s="793"/>
      <c r="D76" s="793"/>
      <c r="E76" s="793"/>
      <c r="F76" s="793"/>
      <c r="G76" s="793"/>
      <c r="H76" s="794"/>
      <c r="I76" s="794"/>
      <c r="J76" s="793"/>
    </row>
    <row r="77" spans="2:10">
      <c r="B77" s="793"/>
      <c r="C77" s="793"/>
      <c r="D77" s="793"/>
      <c r="E77" s="793"/>
      <c r="F77" s="793"/>
      <c r="G77" s="793"/>
      <c r="H77" s="794"/>
      <c r="I77" s="794"/>
      <c r="J77" s="793"/>
    </row>
    <row r="78" spans="2:10">
      <c r="B78" s="793"/>
      <c r="C78" s="793"/>
      <c r="D78" s="793"/>
      <c r="E78" s="793"/>
      <c r="F78" s="793"/>
      <c r="G78" s="793"/>
      <c r="H78" s="794"/>
      <c r="I78" s="794"/>
      <c r="J78" s="793"/>
    </row>
    <row r="79" spans="2:10">
      <c r="B79" s="793"/>
      <c r="C79" s="793"/>
      <c r="D79" s="793"/>
      <c r="E79" s="793"/>
      <c r="F79" s="793"/>
      <c r="G79" s="793"/>
      <c r="H79" s="794"/>
      <c r="I79" s="794"/>
      <c r="J79" s="793"/>
    </row>
    <row r="80" spans="2:10">
      <c r="B80" s="793"/>
      <c r="C80" s="793"/>
      <c r="D80" s="793"/>
      <c r="E80" s="793"/>
      <c r="F80" s="793"/>
      <c r="G80" s="793"/>
      <c r="H80" s="794"/>
      <c r="I80" s="794"/>
      <c r="J80" s="793"/>
    </row>
    <row r="81" spans="2:10">
      <c r="B81" s="793"/>
      <c r="C81" s="793"/>
      <c r="D81" s="793"/>
      <c r="E81" s="793"/>
      <c r="F81" s="793"/>
      <c r="G81" s="793"/>
      <c r="H81" s="794"/>
      <c r="I81" s="794"/>
      <c r="J81" s="793"/>
    </row>
    <row r="82" spans="2:10">
      <c r="B82" s="793"/>
      <c r="C82" s="793"/>
      <c r="D82" s="793"/>
      <c r="E82" s="793"/>
      <c r="F82" s="793"/>
      <c r="G82" s="793"/>
      <c r="H82" s="794"/>
      <c r="I82" s="794"/>
      <c r="J82" s="793"/>
    </row>
    <row r="83" spans="2:10">
      <c r="B83" s="793"/>
      <c r="C83" s="793"/>
      <c r="D83" s="793"/>
      <c r="E83" s="793"/>
      <c r="F83" s="793"/>
      <c r="G83" s="793"/>
      <c r="H83" s="794"/>
      <c r="I83" s="794"/>
      <c r="J83" s="793"/>
    </row>
    <row r="84" spans="2:10">
      <c r="B84" s="793"/>
      <c r="C84" s="793"/>
      <c r="D84" s="793"/>
      <c r="E84" s="793"/>
      <c r="F84" s="793"/>
      <c r="G84" s="793"/>
      <c r="H84" s="794"/>
      <c r="I84" s="794"/>
      <c r="J84" s="793"/>
    </row>
    <row r="85" spans="2:10">
      <c r="B85" s="793"/>
      <c r="C85" s="793"/>
      <c r="D85" s="793"/>
      <c r="E85" s="793"/>
      <c r="F85" s="793"/>
      <c r="G85" s="793"/>
      <c r="H85" s="794"/>
      <c r="I85" s="794"/>
      <c r="J85" s="793"/>
    </row>
    <row r="86" spans="2:10">
      <c r="B86" s="793"/>
      <c r="C86" s="793"/>
      <c r="D86" s="793"/>
      <c r="E86" s="793"/>
      <c r="F86" s="793"/>
      <c r="G86" s="793"/>
      <c r="H86" s="794"/>
      <c r="I86" s="794"/>
      <c r="J86" s="793"/>
    </row>
    <row r="87" spans="2:10">
      <c r="B87" s="793"/>
      <c r="C87" s="793"/>
      <c r="D87" s="793"/>
      <c r="E87" s="793"/>
      <c r="F87" s="793"/>
      <c r="G87" s="793"/>
      <c r="H87" s="794"/>
      <c r="I87" s="794"/>
      <c r="J87" s="793"/>
    </row>
    <row r="88" spans="2:10">
      <c r="B88" s="793"/>
      <c r="C88" s="793"/>
      <c r="D88" s="793"/>
      <c r="E88" s="793"/>
      <c r="F88" s="793"/>
      <c r="G88" s="793"/>
      <c r="H88" s="794"/>
      <c r="I88" s="794"/>
      <c r="J88" s="793"/>
    </row>
    <row r="89" spans="2:10">
      <c r="B89" s="793"/>
      <c r="C89" s="793"/>
      <c r="D89" s="793"/>
      <c r="E89" s="793"/>
      <c r="F89" s="793"/>
      <c r="G89" s="793"/>
      <c r="H89" s="794"/>
      <c r="I89" s="794"/>
      <c r="J89" s="793"/>
    </row>
    <row r="90" spans="2:10">
      <c r="B90" s="793"/>
      <c r="C90" s="793"/>
      <c r="D90" s="793"/>
      <c r="E90" s="793"/>
      <c r="F90" s="793"/>
      <c r="G90" s="793"/>
      <c r="H90" s="794"/>
      <c r="I90" s="794"/>
      <c r="J90" s="793"/>
    </row>
    <row r="91" spans="2:10">
      <c r="B91" s="793"/>
      <c r="C91" s="793"/>
      <c r="D91" s="793"/>
      <c r="E91" s="793"/>
      <c r="F91" s="793"/>
      <c r="G91" s="793"/>
      <c r="H91" s="794"/>
      <c r="I91" s="794"/>
      <c r="J91" s="793"/>
    </row>
    <row r="92" spans="2:10">
      <c r="B92" s="793"/>
      <c r="C92" s="793"/>
      <c r="D92" s="793"/>
      <c r="E92" s="793"/>
      <c r="F92" s="793"/>
      <c r="G92" s="793"/>
      <c r="H92" s="794"/>
      <c r="I92" s="794"/>
      <c r="J92" s="793"/>
    </row>
    <row r="93" spans="2:10">
      <c r="B93" s="793"/>
      <c r="C93" s="793"/>
      <c r="D93" s="793"/>
      <c r="E93" s="793"/>
      <c r="F93" s="793"/>
      <c r="G93" s="793"/>
      <c r="H93" s="794"/>
      <c r="I93" s="794"/>
      <c r="J93" s="793"/>
    </row>
    <row r="94" spans="2:10">
      <c r="B94" s="793"/>
      <c r="C94" s="793"/>
      <c r="D94" s="793"/>
      <c r="E94" s="793"/>
      <c r="F94" s="793"/>
      <c r="G94" s="793"/>
      <c r="H94" s="794"/>
      <c r="I94" s="794"/>
      <c r="J94" s="793"/>
    </row>
    <row r="95" spans="2:10">
      <c r="B95" s="793"/>
      <c r="C95" s="793"/>
      <c r="D95" s="793"/>
      <c r="E95" s="793"/>
      <c r="F95" s="793"/>
      <c r="G95" s="793"/>
      <c r="H95" s="794"/>
      <c r="I95" s="794"/>
      <c r="J95" s="793"/>
    </row>
    <row r="96" spans="2:10">
      <c r="B96" s="793"/>
      <c r="C96" s="793"/>
      <c r="D96" s="793"/>
      <c r="E96" s="793"/>
      <c r="F96" s="793"/>
      <c r="G96" s="793"/>
      <c r="H96" s="794"/>
      <c r="I96" s="794"/>
      <c r="J96" s="793"/>
    </row>
    <row r="97" spans="2:10">
      <c r="B97" s="793"/>
      <c r="C97" s="793"/>
      <c r="D97" s="793"/>
      <c r="E97" s="793"/>
      <c r="F97" s="793"/>
      <c r="G97" s="793"/>
      <c r="H97" s="794"/>
      <c r="I97" s="794"/>
      <c r="J97" s="793"/>
    </row>
    <row r="98" spans="2:10">
      <c r="B98" s="793"/>
      <c r="C98" s="793"/>
      <c r="D98" s="793"/>
      <c r="E98" s="793"/>
      <c r="F98" s="793"/>
      <c r="G98" s="793"/>
      <c r="H98" s="794"/>
      <c r="I98" s="794"/>
      <c r="J98" s="793"/>
    </row>
    <row r="99" spans="2:10">
      <c r="B99" s="793"/>
      <c r="C99" s="793"/>
      <c r="D99" s="793"/>
      <c r="E99" s="793"/>
      <c r="F99" s="793"/>
      <c r="G99" s="793"/>
      <c r="H99" s="794"/>
      <c r="I99" s="794"/>
      <c r="J99" s="793"/>
    </row>
    <row r="100" spans="2:10">
      <c r="B100" s="793"/>
      <c r="C100" s="793"/>
      <c r="D100" s="793"/>
      <c r="E100" s="793"/>
      <c r="F100" s="793"/>
      <c r="G100" s="793"/>
      <c r="H100" s="794"/>
      <c r="I100" s="794"/>
      <c r="J100" s="793"/>
    </row>
    <row r="101" spans="2:10">
      <c r="B101" s="793"/>
      <c r="C101" s="793"/>
      <c r="D101" s="793"/>
      <c r="E101" s="793"/>
      <c r="F101" s="793"/>
      <c r="G101" s="793"/>
      <c r="H101" s="794"/>
      <c r="I101" s="794"/>
      <c r="J101" s="793"/>
    </row>
    <row r="102" spans="2:10">
      <c r="B102" s="793"/>
      <c r="C102" s="793"/>
      <c r="D102" s="793"/>
      <c r="E102" s="793"/>
      <c r="F102" s="793"/>
      <c r="G102" s="793"/>
      <c r="H102" s="794"/>
      <c r="I102" s="794"/>
      <c r="J102" s="793"/>
    </row>
    <row r="103" spans="2:10">
      <c r="B103" s="793"/>
      <c r="C103" s="793"/>
      <c r="D103" s="793"/>
      <c r="E103" s="793"/>
      <c r="F103" s="793"/>
      <c r="G103" s="793"/>
      <c r="H103" s="794"/>
      <c r="I103" s="794"/>
      <c r="J103" s="793"/>
    </row>
    <row r="104" spans="2:10">
      <c r="B104" s="793"/>
      <c r="C104" s="793"/>
      <c r="D104" s="793"/>
      <c r="E104" s="793"/>
      <c r="F104" s="793"/>
      <c r="G104" s="793"/>
      <c r="H104" s="794"/>
      <c r="I104" s="794"/>
      <c r="J104" s="793"/>
    </row>
    <row r="105" spans="2:10">
      <c r="B105" s="793"/>
      <c r="C105" s="793"/>
      <c r="D105" s="793"/>
      <c r="E105" s="793"/>
      <c r="F105" s="793"/>
      <c r="G105" s="793"/>
      <c r="H105" s="794"/>
      <c r="I105" s="794"/>
      <c r="J105" s="793"/>
    </row>
    <row r="106" spans="2:10">
      <c r="B106" s="793"/>
      <c r="C106" s="793"/>
      <c r="D106" s="793"/>
      <c r="E106" s="793"/>
      <c r="F106" s="793"/>
      <c r="G106" s="793"/>
      <c r="H106" s="794"/>
      <c r="I106" s="794"/>
      <c r="J106" s="793"/>
    </row>
    <row r="107" spans="2:10">
      <c r="B107" s="793"/>
      <c r="C107" s="793"/>
      <c r="D107" s="793"/>
      <c r="E107" s="793"/>
      <c r="F107" s="793"/>
      <c r="G107" s="793"/>
      <c r="H107" s="794"/>
      <c r="I107" s="794"/>
      <c r="J107" s="793"/>
    </row>
    <row r="108" spans="2:10">
      <c r="B108" s="793"/>
      <c r="C108" s="793"/>
      <c r="D108" s="793"/>
      <c r="E108" s="793"/>
      <c r="F108" s="793"/>
      <c r="G108" s="793"/>
      <c r="H108" s="794"/>
      <c r="I108" s="794"/>
      <c r="J108" s="793"/>
    </row>
    <row r="109" spans="2:10">
      <c r="B109" s="793"/>
      <c r="C109" s="793"/>
      <c r="D109" s="793"/>
      <c r="E109" s="793"/>
      <c r="F109" s="793"/>
      <c r="G109" s="793"/>
      <c r="H109" s="794"/>
      <c r="I109" s="794"/>
      <c r="J109" s="793"/>
    </row>
    <row r="110" spans="2:10">
      <c r="B110" s="793"/>
      <c r="C110" s="793"/>
      <c r="D110" s="793"/>
      <c r="E110" s="793"/>
      <c r="F110" s="793"/>
      <c r="G110" s="793"/>
      <c r="H110" s="794"/>
      <c r="I110" s="794"/>
      <c r="J110" s="793"/>
    </row>
    <row r="111" spans="2:10">
      <c r="B111" s="793"/>
      <c r="C111" s="793"/>
      <c r="D111" s="793"/>
      <c r="E111" s="793"/>
      <c r="F111" s="793"/>
      <c r="G111" s="793"/>
      <c r="H111" s="794"/>
      <c r="I111" s="794"/>
      <c r="J111" s="793"/>
    </row>
    <row r="112" spans="2:10">
      <c r="B112" s="793"/>
      <c r="C112" s="793"/>
      <c r="D112" s="793"/>
      <c r="E112" s="793"/>
      <c r="F112" s="793"/>
      <c r="G112" s="793"/>
      <c r="H112" s="794"/>
      <c r="I112" s="794"/>
      <c r="J112" s="793"/>
    </row>
    <row r="113" spans="2:10">
      <c r="B113" s="793"/>
      <c r="C113" s="793"/>
      <c r="D113" s="793"/>
      <c r="E113" s="793"/>
      <c r="F113" s="793"/>
      <c r="G113" s="793"/>
      <c r="H113" s="794"/>
      <c r="I113" s="794"/>
      <c r="J113" s="793"/>
    </row>
    <row r="114" spans="2:10">
      <c r="B114" s="793"/>
      <c r="C114" s="793"/>
      <c r="D114" s="793"/>
      <c r="E114" s="793"/>
      <c r="F114" s="793"/>
      <c r="G114" s="793"/>
      <c r="H114" s="794"/>
      <c r="I114" s="794"/>
      <c r="J114" s="793"/>
    </row>
    <row r="115" spans="2:10">
      <c r="B115" s="793"/>
      <c r="C115" s="793"/>
      <c r="D115" s="793"/>
      <c r="E115" s="793"/>
      <c r="F115" s="793"/>
      <c r="G115" s="793"/>
      <c r="H115" s="794"/>
      <c r="I115" s="794"/>
      <c r="J115" s="793"/>
    </row>
    <row r="116" spans="2:10">
      <c r="B116" s="793"/>
      <c r="C116" s="793"/>
      <c r="D116" s="793"/>
      <c r="E116" s="793"/>
      <c r="F116" s="793"/>
      <c r="G116" s="793"/>
      <c r="H116" s="794"/>
      <c r="I116" s="794"/>
      <c r="J116" s="793"/>
    </row>
    <row r="117" spans="2:10">
      <c r="B117" s="793"/>
      <c r="C117" s="793"/>
      <c r="D117" s="793"/>
      <c r="E117" s="793"/>
      <c r="F117" s="793"/>
      <c r="G117" s="793"/>
      <c r="H117" s="794"/>
      <c r="I117" s="794"/>
      <c r="J117" s="793"/>
    </row>
    <row r="118" spans="2:10">
      <c r="B118" s="793"/>
      <c r="C118" s="793"/>
      <c r="D118" s="793"/>
      <c r="E118" s="793"/>
      <c r="F118" s="793"/>
      <c r="G118" s="793"/>
      <c r="H118" s="794"/>
      <c r="I118" s="794"/>
      <c r="J118" s="793"/>
    </row>
    <row r="119" spans="2:10">
      <c r="B119" s="793"/>
      <c r="C119" s="793"/>
      <c r="D119" s="793"/>
      <c r="E119" s="793"/>
      <c r="F119" s="793"/>
      <c r="G119" s="793"/>
      <c r="H119" s="794"/>
      <c r="I119" s="794"/>
      <c r="J119" s="793"/>
    </row>
    <row r="120" spans="2:10">
      <c r="B120" s="793"/>
      <c r="C120" s="793"/>
      <c r="D120" s="793"/>
      <c r="E120" s="793"/>
      <c r="F120" s="793"/>
      <c r="G120" s="793"/>
      <c r="H120" s="794"/>
      <c r="I120" s="794"/>
      <c r="J120" s="793"/>
    </row>
    <row r="121" spans="2:10">
      <c r="B121" s="793"/>
      <c r="C121" s="793"/>
      <c r="D121" s="793"/>
      <c r="E121" s="793"/>
      <c r="F121" s="793"/>
      <c r="G121" s="793"/>
      <c r="H121" s="794"/>
      <c r="I121" s="794"/>
      <c r="J121" s="793"/>
    </row>
    <row r="122" spans="2:10">
      <c r="B122" s="793"/>
      <c r="C122" s="793"/>
      <c r="D122" s="793"/>
      <c r="E122" s="793"/>
      <c r="F122" s="793"/>
      <c r="G122" s="793"/>
      <c r="H122" s="794"/>
      <c r="I122" s="794"/>
      <c r="J122" s="793"/>
    </row>
    <row r="123" spans="2:10">
      <c r="B123" s="793"/>
      <c r="C123" s="793"/>
      <c r="D123" s="793"/>
      <c r="E123" s="793"/>
      <c r="F123" s="793"/>
      <c r="G123" s="793"/>
      <c r="H123" s="794"/>
      <c r="I123" s="794"/>
      <c r="J123" s="793"/>
    </row>
    <row r="124" spans="2:10">
      <c r="B124" s="793"/>
      <c r="C124" s="793"/>
      <c r="D124" s="793"/>
      <c r="E124" s="793"/>
      <c r="F124" s="793"/>
      <c r="G124" s="793"/>
      <c r="H124" s="794"/>
      <c r="I124" s="794"/>
      <c r="J124" s="793"/>
    </row>
    <row r="125" spans="2:10">
      <c r="B125" s="793"/>
      <c r="C125" s="793"/>
      <c r="D125" s="793"/>
      <c r="E125" s="793"/>
      <c r="F125" s="793"/>
      <c r="G125" s="793"/>
      <c r="H125" s="794"/>
      <c r="I125" s="794"/>
      <c r="J125" s="793"/>
    </row>
    <row r="126" spans="2:10">
      <c r="B126" s="793"/>
      <c r="C126" s="793"/>
      <c r="D126" s="793"/>
      <c r="E126" s="793"/>
      <c r="F126" s="793"/>
      <c r="G126" s="793"/>
      <c r="H126" s="794"/>
      <c r="I126" s="794"/>
      <c r="J126" s="793"/>
    </row>
    <row r="127" spans="2:10">
      <c r="B127" s="793"/>
      <c r="C127" s="793"/>
      <c r="D127" s="793"/>
      <c r="E127" s="793"/>
      <c r="F127" s="793"/>
      <c r="G127" s="793"/>
      <c r="H127" s="794"/>
      <c r="I127" s="794"/>
      <c r="J127" s="793"/>
    </row>
    <row r="128" spans="2:10">
      <c r="B128" s="793"/>
      <c r="C128" s="793"/>
      <c r="D128" s="793"/>
      <c r="E128" s="793"/>
      <c r="F128" s="793"/>
      <c r="G128" s="793"/>
      <c r="H128" s="794"/>
      <c r="I128" s="794"/>
      <c r="J128" s="793"/>
    </row>
    <row r="129" spans="2:10">
      <c r="B129" s="793"/>
      <c r="C129" s="793"/>
      <c r="D129" s="793"/>
      <c r="E129" s="793"/>
      <c r="F129" s="793"/>
      <c r="G129" s="793"/>
      <c r="H129" s="794"/>
      <c r="I129" s="794"/>
      <c r="J129" s="793"/>
    </row>
    <row r="130" spans="2:10">
      <c r="B130" s="793"/>
      <c r="C130" s="793"/>
      <c r="D130" s="793"/>
      <c r="E130" s="793"/>
      <c r="F130" s="793"/>
      <c r="G130" s="793"/>
      <c r="H130" s="794"/>
      <c r="I130" s="794"/>
      <c r="J130" s="793"/>
    </row>
    <row r="131" spans="2:10">
      <c r="B131" s="793"/>
      <c r="C131" s="793"/>
      <c r="D131" s="793"/>
      <c r="E131" s="793"/>
      <c r="F131" s="793"/>
      <c r="G131" s="793"/>
      <c r="H131" s="794"/>
      <c r="I131" s="794"/>
      <c r="J131" s="793"/>
    </row>
    <row r="132" spans="2:10">
      <c r="B132" s="793"/>
      <c r="C132" s="793"/>
      <c r="D132" s="793"/>
      <c r="E132" s="793"/>
      <c r="F132" s="793"/>
      <c r="G132" s="793"/>
      <c r="H132" s="794"/>
      <c r="I132" s="794"/>
      <c r="J132" s="793"/>
    </row>
    <row r="133" spans="2:10">
      <c r="B133" s="793"/>
      <c r="C133" s="793"/>
      <c r="D133" s="793"/>
      <c r="E133" s="793"/>
      <c r="F133" s="793"/>
      <c r="G133" s="793"/>
      <c r="H133" s="794"/>
      <c r="I133" s="794"/>
      <c r="J133" s="793"/>
    </row>
    <row r="134" spans="2:10">
      <c r="B134" s="793"/>
      <c r="C134" s="793"/>
      <c r="D134" s="793"/>
      <c r="E134" s="793"/>
      <c r="F134" s="793"/>
      <c r="G134" s="793"/>
      <c r="H134" s="794"/>
      <c r="I134" s="794"/>
      <c r="J134" s="793"/>
    </row>
    <row r="135" spans="2:10">
      <c r="B135" s="793"/>
      <c r="C135" s="793"/>
      <c r="D135" s="793"/>
      <c r="E135" s="793"/>
      <c r="F135" s="793"/>
      <c r="G135" s="793"/>
      <c r="H135" s="794"/>
      <c r="I135" s="794"/>
      <c r="J135" s="793"/>
    </row>
    <row r="136" spans="2:10">
      <c r="B136" s="793"/>
      <c r="C136" s="793"/>
      <c r="D136" s="793"/>
      <c r="E136" s="793"/>
      <c r="F136" s="793"/>
      <c r="G136" s="793"/>
      <c r="H136" s="794"/>
      <c r="I136" s="794"/>
      <c r="J136" s="793"/>
    </row>
    <row r="137" spans="2:10">
      <c r="B137" s="793"/>
      <c r="C137" s="793"/>
      <c r="D137" s="793"/>
      <c r="E137" s="793"/>
      <c r="F137" s="793"/>
      <c r="G137" s="793"/>
      <c r="H137" s="794"/>
      <c r="I137" s="794"/>
      <c r="J137" s="793"/>
    </row>
    <row r="138" spans="2:10">
      <c r="B138" s="793"/>
      <c r="C138" s="793"/>
      <c r="D138" s="793"/>
      <c r="E138" s="793"/>
      <c r="F138" s="793"/>
      <c r="G138" s="793"/>
      <c r="H138" s="794"/>
      <c r="I138" s="794"/>
      <c r="J138" s="793"/>
    </row>
    <row r="139" spans="2:10">
      <c r="B139" s="793"/>
      <c r="C139" s="793"/>
      <c r="D139" s="793"/>
      <c r="E139" s="793"/>
      <c r="F139" s="793"/>
      <c r="G139" s="793"/>
      <c r="H139" s="794"/>
      <c r="I139" s="794"/>
      <c r="J139" s="793"/>
    </row>
    <row r="140" spans="2:10">
      <c r="B140" s="793"/>
      <c r="C140" s="793"/>
      <c r="D140" s="793"/>
      <c r="E140" s="793"/>
      <c r="F140" s="793"/>
      <c r="G140" s="793"/>
      <c r="H140" s="794"/>
      <c r="I140" s="794"/>
      <c r="J140" s="793"/>
    </row>
    <row r="141" spans="2:10">
      <c r="B141" s="793"/>
      <c r="C141" s="793"/>
      <c r="D141" s="793"/>
      <c r="E141" s="793"/>
      <c r="F141" s="793"/>
      <c r="G141" s="793"/>
      <c r="H141" s="794"/>
      <c r="I141" s="794"/>
      <c r="J141" s="793"/>
    </row>
    <row r="142" spans="2:10">
      <c r="B142" s="793"/>
      <c r="C142" s="793"/>
      <c r="D142" s="793"/>
      <c r="E142" s="793"/>
      <c r="F142" s="793"/>
      <c r="G142" s="793"/>
      <c r="H142" s="794"/>
      <c r="I142" s="794"/>
      <c r="J142" s="793"/>
    </row>
    <row r="143" spans="2:10">
      <c r="B143" s="793"/>
      <c r="C143" s="793"/>
      <c r="D143" s="793"/>
      <c r="E143" s="793"/>
      <c r="F143" s="793"/>
      <c r="G143" s="793"/>
      <c r="H143" s="794"/>
      <c r="I143" s="794"/>
      <c r="J143" s="793"/>
    </row>
    <row r="144" spans="2:10">
      <c r="B144" s="793"/>
      <c r="C144" s="793"/>
      <c r="D144" s="793"/>
      <c r="E144" s="793"/>
      <c r="F144" s="793"/>
      <c r="G144" s="793"/>
      <c r="H144" s="794"/>
      <c r="I144" s="794"/>
      <c r="J144" s="793"/>
    </row>
    <row r="145" spans="2:10">
      <c r="B145" s="793"/>
      <c r="C145" s="793"/>
      <c r="D145" s="793"/>
      <c r="E145" s="793"/>
      <c r="F145" s="793"/>
      <c r="G145" s="793"/>
      <c r="H145" s="794"/>
      <c r="I145" s="794"/>
      <c r="J145" s="793"/>
    </row>
    <row r="146" spans="2:10">
      <c r="B146" s="793"/>
      <c r="C146" s="793"/>
      <c r="D146" s="793"/>
      <c r="E146" s="793"/>
      <c r="F146" s="793"/>
      <c r="G146" s="793"/>
      <c r="H146" s="794"/>
      <c r="I146" s="794"/>
      <c r="J146" s="793"/>
    </row>
    <row r="147" spans="2:10">
      <c r="B147" s="793"/>
      <c r="C147" s="793"/>
      <c r="D147" s="793"/>
      <c r="E147" s="793"/>
      <c r="F147" s="793"/>
      <c r="G147" s="793"/>
      <c r="H147" s="794"/>
      <c r="I147" s="794"/>
      <c r="J147" s="793"/>
    </row>
    <row r="148" spans="2:10">
      <c r="B148" s="793"/>
      <c r="C148" s="793"/>
      <c r="D148" s="793"/>
      <c r="E148" s="793"/>
      <c r="F148" s="793"/>
      <c r="G148" s="793"/>
      <c r="H148" s="794"/>
      <c r="I148" s="794"/>
      <c r="J148" s="793"/>
    </row>
    <row r="149" spans="2:10">
      <c r="B149" s="793"/>
      <c r="C149" s="793"/>
      <c r="D149" s="793"/>
      <c r="E149" s="793"/>
      <c r="F149" s="793"/>
      <c r="G149" s="793"/>
      <c r="H149" s="794"/>
      <c r="I149" s="794"/>
      <c r="J149" s="793"/>
    </row>
    <row r="150" spans="2:10">
      <c r="B150" s="793"/>
      <c r="C150" s="793"/>
      <c r="D150" s="793"/>
      <c r="E150" s="793"/>
      <c r="F150" s="793"/>
      <c r="G150" s="793"/>
      <c r="H150" s="794"/>
      <c r="I150" s="794"/>
      <c r="J150" s="793"/>
    </row>
    <row r="151" spans="2:10">
      <c r="B151" s="793"/>
      <c r="C151" s="793"/>
      <c r="D151" s="793"/>
      <c r="E151" s="793"/>
      <c r="F151" s="793"/>
      <c r="G151" s="793"/>
      <c r="H151" s="794"/>
      <c r="I151" s="794"/>
      <c r="J151" s="793"/>
    </row>
    <row r="152" spans="2:10">
      <c r="B152" s="793"/>
      <c r="C152" s="793"/>
      <c r="D152" s="793"/>
      <c r="E152" s="793"/>
      <c r="F152" s="793"/>
      <c r="G152" s="793"/>
      <c r="H152" s="794"/>
      <c r="I152" s="794"/>
      <c r="J152" s="793"/>
    </row>
    <row r="153" spans="2:10">
      <c r="B153" s="793"/>
      <c r="C153" s="793"/>
      <c r="D153" s="793"/>
      <c r="E153" s="793"/>
      <c r="F153" s="793"/>
      <c r="G153" s="793"/>
      <c r="H153" s="794"/>
      <c r="I153" s="794"/>
      <c r="J153" s="793"/>
    </row>
    <row r="154" spans="2:10">
      <c r="B154" s="793"/>
      <c r="C154" s="793"/>
      <c r="D154" s="793"/>
      <c r="E154" s="793"/>
      <c r="F154" s="793"/>
      <c r="G154" s="793"/>
      <c r="H154" s="794"/>
      <c r="I154" s="794"/>
      <c r="J154" s="793"/>
    </row>
    <row r="155" spans="2:10">
      <c r="B155" s="793"/>
      <c r="C155" s="793"/>
      <c r="D155" s="793"/>
      <c r="E155" s="793"/>
      <c r="F155" s="793"/>
      <c r="G155" s="793"/>
      <c r="H155" s="794"/>
      <c r="I155" s="794"/>
      <c r="J155" s="793"/>
    </row>
    <row r="156" spans="2:10">
      <c r="B156" s="793"/>
      <c r="C156" s="793"/>
      <c r="D156" s="793"/>
      <c r="E156" s="793"/>
      <c r="F156" s="793"/>
      <c r="G156" s="793"/>
      <c r="H156" s="794"/>
      <c r="I156" s="794"/>
      <c r="J156" s="793"/>
    </row>
    <row r="157" spans="2:10">
      <c r="B157" s="793"/>
      <c r="C157" s="793"/>
      <c r="D157" s="793"/>
      <c r="E157" s="793"/>
      <c r="F157" s="793"/>
      <c r="G157" s="793"/>
      <c r="H157" s="794"/>
      <c r="I157" s="794"/>
      <c r="J157" s="793"/>
    </row>
    <row r="158" spans="2:10">
      <c r="B158" s="793"/>
      <c r="C158" s="793"/>
      <c r="D158" s="793"/>
      <c r="E158" s="793"/>
      <c r="F158" s="793"/>
      <c r="G158" s="793"/>
      <c r="H158" s="794"/>
      <c r="I158" s="794"/>
      <c r="J158" s="793"/>
    </row>
    <row r="159" spans="2:10">
      <c r="B159" s="793"/>
      <c r="C159" s="793"/>
      <c r="D159" s="793"/>
      <c r="E159" s="793"/>
      <c r="F159" s="793"/>
      <c r="G159" s="793"/>
      <c r="H159" s="794"/>
      <c r="I159" s="794"/>
      <c r="J159" s="793"/>
    </row>
    <row r="160" spans="2:10">
      <c r="B160" s="793"/>
      <c r="C160" s="793"/>
      <c r="D160" s="793"/>
      <c r="E160" s="793"/>
      <c r="F160" s="793"/>
      <c r="G160" s="793"/>
      <c r="H160" s="794"/>
      <c r="I160" s="794"/>
      <c r="J160" s="793"/>
    </row>
    <row r="161" spans="1:10">
      <c r="B161" s="793"/>
      <c r="C161" s="793"/>
      <c r="D161" s="793"/>
      <c r="E161" s="793"/>
      <c r="F161" s="793"/>
      <c r="G161" s="793"/>
      <c r="H161" s="794"/>
      <c r="I161" s="794"/>
      <c r="J161" s="793"/>
    </row>
    <row r="162" spans="1:10">
      <c r="B162" s="793"/>
      <c r="C162" s="793"/>
      <c r="D162" s="793"/>
      <c r="E162" s="793"/>
      <c r="F162" s="793"/>
      <c r="G162" s="793"/>
      <c r="H162" s="794"/>
      <c r="I162" s="794"/>
      <c r="J162" s="793"/>
    </row>
    <row r="163" spans="1:10">
      <c r="B163" s="793"/>
      <c r="C163" s="793"/>
      <c r="D163" s="793"/>
      <c r="E163" s="793"/>
      <c r="F163" s="793"/>
      <c r="G163" s="793"/>
      <c r="H163" s="794"/>
      <c r="I163" s="794"/>
      <c r="J163" s="793"/>
    </row>
    <row r="164" spans="1:10">
      <c r="B164" s="793"/>
      <c r="C164" s="793"/>
      <c r="D164" s="793"/>
      <c r="E164" s="793"/>
      <c r="F164" s="793"/>
      <c r="G164" s="793"/>
      <c r="H164" s="794"/>
      <c r="I164" s="794"/>
      <c r="J164" s="793"/>
    </row>
    <row r="165" spans="1:10">
      <c r="B165" s="793"/>
      <c r="C165" s="793"/>
      <c r="D165" s="793"/>
      <c r="E165" s="793"/>
      <c r="F165" s="793"/>
      <c r="G165" s="793"/>
      <c r="H165" s="794"/>
      <c r="I165" s="794"/>
      <c r="J165" s="793"/>
    </row>
    <row r="166" spans="1:10">
      <c r="B166" s="793"/>
      <c r="C166" s="793"/>
      <c r="D166" s="793"/>
      <c r="E166" s="793"/>
      <c r="F166" s="793"/>
      <c r="G166" s="793"/>
      <c r="H166" s="794"/>
      <c r="I166" s="794"/>
      <c r="J166" s="793"/>
    </row>
    <row r="167" spans="1:10">
      <c r="B167" s="793"/>
      <c r="C167" s="793"/>
      <c r="D167" s="793"/>
      <c r="E167" s="793"/>
      <c r="F167" s="793"/>
      <c r="G167" s="793"/>
      <c r="H167" s="794"/>
      <c r="I167" s="794"/>
      <c r="J167" s="793"/>
    </row>
    <row r="168" spans="1:10">
      <c r="B168" s="793"/>
      <c r="C168" s="793"/>
      <c r="D168" s="793"/>
      <c r="E168" s="793"/>
      <c r="F168" s="793"/>
      <c r="G168" s="793"/>
      <c r="H168" s="794"/>
      <c r="I168" s="794"/>
      <c r="J168" s="793"/>
    </row>
    <row r="169" spans="1:10">
      <c r="B169" s="793"/>
      <c r="C169" s="793"/>
      <c r="D169" s="793"/>
      <c r="E169" s="793"/>
      <c r="F169" s="793"/>
      <c r="G169" s="793"/>
      <c r="H169" s="794"/>
      <c r="I169" s="794"/>
      <c r="J169" s="793"/>
    </row>
    <row r="170" spans="1:10">
      <c r="A170" s="792"/>
      <c r="B170" s="793"/>
      <c r="C170" s="793"/>
      <c r="D170" s="793"/>
      <c r="E170" s="793"/>
      <c r="F170" s="793"/>
      <c r="G170" s="793"/>
      <c r="H170" s="793"/>
      <c r="I170" s="793"/>
      <c r="J170" s="793"/>
    </row>
    <row r="171" spans="1:10">
      <c r="A171" s="792"/>
      <c r="B171" s="793"/>
      <c r="C171" s="793"/>
      <c r="D171" s="793"/>
      <c r="E171" s="793"/>
      <c r="F171" s="793"/>
      <c r="G171" s="793"/>
      <c r="H171" s="793"/>
      <c r="I171" s="793"/>
      <c r="J171" s="793"/>
    </row>
    <row r="172" spans="1:10">
      <c r="A172" s="792"/>
      <c r="B172" s="797"/>
      <c r="C172" s="797"/>
      <c r="D172" s="797"/>
      <c r="E172" s="797"/>
      <c r="F172" s="797"/>
      <c r="G172" s="797"/>
      <c r="H172" s="793"/>
      <c r="I172" s="793"/>
      <c r="J172" s="793"/>
    </row>
    <row r="173" spans="1:10">
      <c r="A173" s="792"/>
      <c r="B173" s="793"/>
      <c r="C173" s="793"/>
      <c r="D173" s="793"/>
      <c r="E173" s="793"/>
      <c r="F173" s="793"/>
      <c r="G173" s="793"/>
      <c r="H173" s="793"/>
      <c r="I173" s="793"/>
      <c r="J173" s="793"/>
    </row>
    <row r="174" spans="1:10">
      <c r="A174" s="792"/>
      <c r="B174" s="793"/>
      <c r="C174" s="793"/>
      <c r="D174" s="793"/>
      <c r="E174" s="793"/>
      <c r="F174" s="793"/>
      <c r="G174" s="793"/>
      <c r="H174" s="793"/>
      <c r="I174" s="793"/>
      <c r="J174" s="793"/>
    </row>
    <row r="175" spans="1:10">
      <c r="A175" s="792"/>
      <c r="B175" s="793"/>
      <c r="C175" s="793"/>
      <c r="D175" s="793"/>
      <c r="E175" s="793"/>
      <c r="F175" s="793"/>
      <c r="G175" s="793"/>
      <c r="H175" s="793"/>
      <c r="I175" s="793"/>
      <c r="J175" s="793"/>
    </row>
    <row r="176" spans="1:10">
      <c r="A176" s="792"/>
      <c r="B176" s="793"/>
      <c r="C176" s="793"/>
      <c r="D176" s="793"/>
      <c r="E176" s="793"/>
      <c r="F176" s="793"/>
      <c r="G176" s="793"/>
      <c r="H176" s="793"/>
      <c r="I176" s="793"/>
      <c r="J176" s="793"/>
    </row>
    <row r="177" spans="1:10">
      <c r="A177" s="792"/>
      <c r="B177" s="793"/>
      <c r="C177" s="793"/>
      <c r="D177" s="793"/>
      <c r="E177" s="793"/>
      <c r="F177" s="793"/>
      <c r="G177" s="793"/>
      <c r="H177" s="793"/>
      <c r="I177" s="793"/>
      <c r="J177" s="793"/>
    </row>
    <row r="178" spans="1:10">
      <c r="A178" s="792"/>
      <c r="B178" s="793"/>
      <c r="C178" s="793"/>
      <c r="D178" s="793"/>
      <c r="E178" s="793"/>
      <c r="F178" s="793"/>
      <c r="G178" s="793"/>
      <c r="H178" s="793"/>
      <c r="I178" s="793"/>
      <c r="J178" s="793"/>
    </row>
    <row r="179" spans="1:10">
      <c r="A179" s="792"/>
      <c r="B179" s="793"/>
      <c r="C179" s="793"/>
      <c r="D179" s="793"/>
      <c r="E179" s="793"/>
      <c r="F179" s="793"/>
      <c r="G179" s="793"/>
      <c r="H179" s="793"/>
      <c r="I179" s="793"/>
      <c r="J179" s="793"/>
    </row>
    <row r="180" spans="1:10">
      <c r="A180" s="792"/>
      <c r="B180" s="793"/>
      <c r="C180" s="793"/>
      <c r="D180" s="793"/>
      <c r="E180" s="793"/>
      <c r="F180" s="793"/>
      <c r="G180" s="793"/>
      <c r="H180" s="793"/>
      <c r="I180" s="793"/>
      <c r="J180" s="793"/>
    </row>
    <row r="181" spans="1:10">
      <c r="A181" s="792"/>
      <c r="B181" s="793"/>
      <c r="C181" s="793"/>
      <c r="D181" s="793"/>
      <c r="E181" s="793"/>
      <c r="F181" s="793"/>
      <c r="G181" s="793"/>
      <c r="H181" s="793"/>
      <c r="I181" s="793"/>
      <c r="J181" s="793"/>
    </row>
    <row r="182" spans="1:10">
      <c r="A182" s="792"/>
      <c r="B182" s="793"/>
      <c r="C182" s="793"/>
      <c r="D182" s="793"/>
      <c r="E182" s="793"/>
      <c r="F182" s="793"/>
      <c r="G182" s="793"/>
      <c r="H182" s="793"/>
      <c r="I182" s="793"/>
      <c r="J182" s="793"/>
    </row>
    <row r="183" spans="1:10">
      <c r="A183" s="792"/>
      <c r="B183" s="793"/>
      <c r="C183" s="793"/>
      <c r="D183" s="793"/>
      <c r="E183" s="793"/>
      <c r="F183" s="793"/>
      <c r="G183" s="793"/>
      <c r="H183" s="793"/>
      <c r="I183" s="793"/>
      <c r="J183" s="793"/>
    </row>
    <row r="184" spans="1:10">
      <c r="A184" s="792"/>
      <c r="B184" s="793"/>
      <c r="C184" s="793"/>
      <c r="D184" s="793"/>
      <c r="E184" s="793"/>
      <c r="F184" s="793"/>
      <c r="G184" s="793"/>
      <c r="H184" s="793"/>
      <c r="I184" s="793"/>
      <c r="J184" s="793"/>
    </row>
    <row r="185" spans="1:10">
      <c r="A185" s="792"/>
      <c r="B185" s="793"/>
      <c r="C185" s="793"/>
      <c r="D185" s="793"/>
      <c r="E185" s="793"/>
      <c r="F185" s="793"/>
      <c r="G185" s="793"/>
      <c r="H185" s="793"/>
      <c r="I185" s="793"/>
      <c r="J185" s="793"/>
    </row>
    <row r="186" spans="1:10">
      <c r="A186" s="792"/>
      <c r="B186" s="793"/>
      <c r="C186" s="793"/>
      <c r="D186" s="793"/>
      <c r="E186" s="793"/>
      <c r="F186" s="793"/>
      <c r="G186" s="793"/>
      <c r="H186" s="793"/>
      <c r="I186" s="793"/>
      <c r="J186" s="793"/>
    </row>
    <row r="187" spans="1:10">
      <c r="A187" s="792"/>
      <c r="B187" s="793"/>
      <c r="C187" s="793"/>
      <c r="D187" s="793"/>
      <c r="E187" s="793"/>
      <c r="F187" s="793"/>
      <c r="G187" s="793"/>
      <c r="H187" s="793"/>
      <c r="I187" s="793"/>
      <c r="J187" s="793"/>
    </row>
    <row r="188" spans="1:10">
      <c r="A188" s="792"/>
      <c r="B188" s="793"/>
      <c r="C188" s="793"/>
      <c r="D188" s="793"/>
      <c r="E188" s="793"/>
      <c r="F188" s="793"/>
      <c r="G188" s="793"/>
      <c r="H188" s="793"/>
      <c r="I188" s="793"/>
      <c r="J188" s="793"/>
    </row>
    <row r="189" spans="1:10">
      <c r="A189" s="792"/>
      <c r="B189" s="793"/>
      <c r="C189" s="793"/>
      <c r="D189" s="793"/>
      <c r="E189" s="793"/>
      <c r="F189" s="793"/>
      <c r="G189" s="793"/>
      <c r="H189" s="793"/>
      <c r="I189" s="793"/>
      <c r="J189" s="793"/>
    </row>
    <row r="190" spans="1:10">
      <c r="A190" s="792"/>
      <c r="B190" s="793"/>
      <c r="C190" s="793"/>
      <c r="D190" s="793"/>
      <c r="E190" s="793"/>
      <c r="F190" s="793"/>
      <c r="G190" s="793"/>
      <c r="H190" s="793"/>
      <c r="I190" s="793"/>
      <c r="J190" s="793"/>
    </row>
    <row r="191" spans="1:10">
      <c r="A191" s="792"/>
      <c r="B191" s="793"/>
      <c r="C191" s="793"/>
      <c r="D191" s="793"/>
      <c r="E191" s="793"/>
      <c r="F191" s="793"/>
      <c r="G191" s="793"/>
      <c r="H191" s="793"/>
      <c r="I191" s="793"/>
      <c r="J191" s="793"/>
    </row>
    <row r="192" spans="1:10">
      <c r="A192" s="792"/>
      <c r="B192" s="793"/>
      <c r="C192" s="793"/>
      <c r="D192" s="793"/>
      <c r="E192" s="793"/>
      <c r="F192" s="793"/>
      <c r="G192" s="793"/>
      <c r="H192" s="793"/>
      <c r="I192" s="793"/>
      <c r="J192" s="793"/>
    </row>
    <row r="193" spans="1:10">
      <c r="A193" s="792"/>
      <c r="B193" s="793"/>
      <c r="C193" s="793"/>
      <c r="D193" s="793"/>
      <c r="E193" s="793"/>
      <c r="F193" s="793"/>
      <c r="G193" s="793"/>
      <c r="H193" s="793"/>
      <c r="I193" s="793"/>
      <c r="J193" s="793"/>
    </row>
    <row r="194" spans="1:10">
      <c r="A194" s="792"/>
      <c r="B194" s="793"/>
      <c r="C194" s="793"/>
      <c r="D194" s="793"/>
      <c r="E194" s="793"/>
      <c r="F194" s="793"/>
      <c r="G194" s="793"/>
      <c r="H194" s="793"/>
      <c r="I194" s="793"/>
      <c r="J194" s="793"/>
    </row>
    <row r="195" spans="1:10">
      <c r="A195" s="792"/>
      <c r="B195" s="793"/>
      <c r="C195" s="793"/>
      <c r="D195" s="793"/>
      <c r="E195" s="793"/>
      <c r="F195" s="793"/>
      <c r="G195" s="793"/>
      <c r="H195" s="793"/>
      <c r="I195" s="793"/>
      <c r="J195" s="793"/>
    </row>
    <row r="196" spans="1:10">
      <c r="A196" s="792"/>
      <c r="B196" s="793"/>
      <c r="C196" s="793"/>
      <c r="D196" s="793"/>
      <c r="E196" s="793"/>
      <c r="F196" s="793"/>
      <c r="G196" s="793"/>
      <c r="H196" s="793"/>
      <c r="I196" s="793"/>
      <c r="J196" s="793"/>
    </row>
    <row r="197" spans="1:10">
      <c r="A197" s="792"/>
      <c r="B197" s="793"/>
      <c r="C197" s="793"/>
      <c r="D197" s="793"/>
      <c r="E197" s="793"/>
      <c r="F197" s="793"/>
      <c r="G197" s="793"/>
      <c r="H197" s="793"/>
      <c r="I197" s="793"/>
      <c r="J197" s="793"/>
    </row>
    <row r="198" spans="1:10">
      <c r="A198" s="792"/>
      <c r="B198" s="793"/>
      <c r="C198" s="793"/>
      <c r="D198" s="793"/>
      <c r="E198" s="793"/>
      <c r="F198" s="793"/>
      <c r="G198" s="793"/>
      <c r="H198" s="793"/>
      <c r="I198" s="793"/>
      <c r="J198" s="793"/>
    </row>
    <row r="199" spans="1:10">
      <c r="A199" s="798"/>
      <c r="B199" s="799"/>
      <c r="C199" s="799"/>
      <c r="D199" s="799"/>
      <c r="E199" s="799"/>
      <c r="F199" s="799"/>
      <c r="G199" s="799"/>
      <c r="H199" s="799"/>
      <c r="I199" s="799"/>
      <c r="J199" s="799"/>
    </row>
    <row r="200" spans="1:10">
      <c r="A200" s="792"/>
      <c r="B200" s="793"/>
      <c r="C200" s="793"/>
      <c r="D200" s="793"/>
      <c r="E200" s="793"/>
      <c r="F200" s="793"/>
      <c r="G200" s="793"/>
      <c r="H200" s="793"/>
      <c r="I200" s="793"/>
      <c r="J200" s="793"/>
    </row>
  </sheetData>
  <mergeCells count="1">
    <mergeCell ref="A1:G1"/>
  </mergeCells>
  <printOptions horizontalCentered="1"/>
  <pageMargins left="0.5" right="0.5" top="1" bottom="0.5" header="0.5" footer="0.5"/>
  <pageSetup scale="51" fitToHeight="3" orientation="portrait" r:id="rId1"/>
  <headerFooter alignWithMargins="0"/>
  <rowBreaks count="2" manualBreakCount="2">
    <brk id="43" max="16383" man="1"/>
    <brk id="10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topLeftCell="D78" zoomScale="65" zoomScaleNormal="65" zoomScaleSheetLayoutView="81" workbookViewId="0">
      <selection activeCell="Q93" sqref="Q93"/>
    </sheetView>
  </sheetViews>
  <sheetFormatPr defaultColWidth="11.42578125" defaultRowHeight="12.75"/>
  <cols>
    <col min="1" max="1" width="7.7109375" style="870" customWidth="1"/>
    <col min="2" max="2" width="1.85546875" style="870" customWidth="1"/>
    <col min="3" max="3" width="55" style="870" customWidth="1"/>
    <col min="4" max="4" width="17.7109375" style="870" customWidth="1"/>
    <col min="5" max="5" width="22.5703125" style="870" customWidth="1"/>
    <col min="6" max="6" width="16.85546875" style="870" customWidth="1"/>
    <col min="7" max="7" width="18.5703125" style="870" customWidth="1"/>
    <col min="8" max="8" width="21" style="870" customWidth="1"/>
    <col min="9" max="9" width="17.7109375" style="870" customWidth="1"/>
    <col min="10" max="10" width="18.5703125" style="870" customWidth="1"/>
    <col min="11" max="11" width="17.42578125" style="870" customWidth="1"/>
    <col min="12" max="12" width="17.7109375" style="870" customWidth="1"/>
    <col min="13" max="13" width="15.42578125" style="870" customWidth="1"/>
    <col min="14" max="14" width="16.28515625" style="870" customWidth="1"/>
    <col min="15" max="15" width="18.5703125" style="870" customWidth="1"/>
    <col min="16" max="16" width="15.28515625" style="870" customWidth="1"/>
    <col min="17" max="17" width="16.7109375" style="870" customWidth="1"/>
    <col min="18" max="18" width="16" style="870" customWidth="1"/>
    <col min="19" max="19" width="16.7109375" style="870" customWidth="1"/>
    <col min="20" max="20" width="14.5703125" style="872" bestFit="1" customWidth="1"/>
    <col min="21" max="16384" width="11.42578125" style="870"/>
  </cols>
  <sheetData>
    <row r="1" spans="1:21">
      <c r="Q1" s="871"/>
    </row>
    <row r="2" spans="1:21">
      <c r="Q2" s="871"/>
    </row>
    <row r="4" spans="1:21">
      <c r="Q4" s="871"/>
    </row>
    <row r="5" spans="1:21">
      <c r="D5" s="873"/>
      <c r="E5" s="873"/>
      <c r="F5" s="873"/>
      <c r="G5" s="803" t="s">
        <v>404</v>
      </c>
      <c r="H5" s="873"/>
      <c r="I5" s="873"/>
      <c r="J5" s="873"/>
      <c r="K5" s="874"/>
      <c r="L5" s="875"/>
      <c r="M5" s="876"/>
      <c r="N5" s="876"/>
      <c r="O5" s="876"/>
      <c r="P5" s="876"/>
      <c r="Q5" s="876"/>
      <c r="R5" s="877"/>
      <c r="S5" s="877"/>
      <c r="T5" s="878"/>
      <c r="U5" s="877"/>
    </row>
    <row r="6" spans="1:21">
      <c r="D6" s="873"/>
      <c r="E6" s="879" t="s">
        <v>101</v>
      </c>
      <c r="F6" s="879"/>
      <c r="G6" s="1483" t="s">
        <v>1525</v>
      </c>
      <c r="H6" s="879"/>
      <c r="I6" s="879"/>
      <c r="J6" s="879"/>
      <c r="K6" s="874"/>
      <c r="P6" s="877"/>
      <c r="Q6" s="874"/>
      <c r="R6" s="877"/>
      <c r="S6" s="880"/>
      <c r="T6" s="878"/>
      <c r="U6" s="877"/>
    </row>
    <row r="7" spans="1:21">
      <c r="C7" s="877"/>
      <c r="D7" s="877"/>
      <c r="E7" s="877"/>
      <c r="F7" s="877"/>
      <c r="G7" s="808" t="s">
        <v>344</v>
      </c>
      <c r="H7" s="877"/>
      <c r="I7" s="877"/>
      <c r="J7" s="877"/>
      <c r="K7" s="877"/>
      <c r="P7" s="877"/>
      <c r="Q7" s="877"/>
      <c r="R7" s="877"/>
      <c r="S7" s="881"/>
      <c r="T7" s="878"/>
      <c r="U7" s="877"/>
    </row>
    <row r="8" spans="1:21">
      <c r="A8" s="803"/>
      <c r="C8" s="877"/>
      <c r="D8" s="877"/>
      <c r="E8" s="877"/>
      <c r="F8" s="877"/>
      <c r="H8" s="877"/>
      <c r="I8" s="877"/>
      <c r="J8" s="877"/>
      <c r="K8" s="877"/>
      <c r="L8" s="877"/>
      <c r="M8" s="877"/>
      <c r="N8" s="877"/>
      <c r="O8" s="877"/>
      <c r="P8" s="877"/>
      <c r="Q8" s="877"/>
      <c r="R8" s="877"/>
      <c r="S8" s="881"/>
      <c r="T8" s="878"/>
      <c r="U8" s="877"/>
    </row>
    <row r="9" spans="1:21">
      <c r="A9" s="803"/>
      <c r="C9" s="877"/>
      <c r="D9" s="877"/>
      <c r="E9" s="877"/>
      <c r="F9" s="877"/>
      <c r="G9" s="882"/>
      <c r="H9" s="877"/>
      <c r="I9" s="877"/>
      <c r="J9" s="877"/>
      <c r="K9" s="877"/>
      <c r="L9" s="877"/>
      <c r="M9" s="877"/>
      <c r="N9" s="877"/>
      <c r="O9" s="877"/>
      <c r="P9" s="877"/>
      <c r="Q9" s="877"/>
      <c r="R9" s="877"/>
      <c r="S9" s="881"/>
      <c r="T9" s="878"/>
      <c r="U9" s="877"/>
    </row>
    <row r="10" spans="1:21">
      <c r="A10" s="803"/>
      <c r="C10" s="877" t="s">
        <v>858</v>
      </c>
      <c r="D10" s="877"/>
      <c r="E10" s="877"/>
      <c r="F10" s="877"/>
      <c r="G10" s="882"/>
      <c r="H10" s="877"/>
      <c r="I10" s="877"/>
      <c r="J10" s="877"/>
      <c r="K10" s="877"/>
      <c r="L10" s="877"/>
      <c r="M10" s="877"/>
      <c r="N10" s="877"/>
      <c r="O10" s="877"/>
      <c r="P10" s="877"/>
      <c r="Q10" s="877"/>
      <c r="R10" s="877"/>
      <c r="S10" s="881"/>
      <c r="T10" s="878"/>
      <c r="U10" s="877"/>
    </row>
    <row r="11" spans="1:21">
      <c r="A11" s="803"/>
      <c r="C11" s="877"/>
      <c r="D11" s="877"/>
      <c r="E11" s="877"/>
      <c r="F11" s="877"/>
      <c r="G11" s="882"/>
      <c r="L11" s="877"/>
      <c r="M11" s="877"/>
      <c r="N11" s="877"/>
      <c r="O11" s="877"/>
      <c r="P11" s="877"/>
      <c r="Q11" s="877"/>
      <c r="R11" s="877"/>
      <c r="S11" s="877"/>
      <c r="T11" s="838"/>
      <c r="U11" s="877"/>
    </row>
    <row r="12" spans="1:21">
      <c r="A12" s="803"/>
      <c r="C12" s="877"/>
      <c r="D12" s="877"/>
      <c r="E12" s="877"/>
      <c r="F12" s="877"/>
      <c r="G12" s="877"/>
      <c r="L12" s="883"/>
      <c r="M12" s="883"/>
      <c r="N12" s="883"/>
      <c r="O12" s="883"/>
      <c r="P12" s="877"/>
      <c r="Q12" s="877"/>
      <c r="R12" s="877"/>
      <c r="S12" s="877"/>
      <c r="T12" s="838"/>
      <c r="U12" s="877"/>
    </row>
    <row r="13" spans="1:21">
      <c r="C13" s="884" t="s">
        <v>689</v>
      </c>
      <c r="D13" s="884"/>
      <c r="E13" s="884" t="s">
        <v>690</v>
      </c>
      <c r="F13" s="884"/>
      <c r="I13" s="884" t="s">
        <v>691</v>
      </c>
      <c r="L13" s="885" t="s">
        <v>692</v>
      </c>
      <c r="M13" s="885"/>
      <c r="N13" s="885"/>
      <c r="O13" s="885"/>
      <c r="P13" s="879"/>
      <c r="Q13" s="885"/>
      <c r="R13" s="879"/>
      <c r="S13" s="885"/>
      <c r="U13" s="886"/>
    </row>
    <row r="14" spans="1:21">
      <c r="C14" s="886"/>
      <c r="D14" s="886"/>
      <c r="E14" s="887" t="s">
        <v>915</v>
      </c>
      <c r="F14" s="887"/>
      <c r="I14" s="879"/>
      <c r="P14" s="879"/>
      <c r="R14" s="879"/>
      <c r="S14" s="884"/>
      <c r="T14" s="839"/>
      <c r="U14" s="886"/>
    </row>
    <row r="15" spans="1:21">
      <c r="A15" s="803" t="s">
        <v>693</v>
      </c>
      <c r="C15" s="886"/>
      <c r="D15" s="886"/>
      <c r="E15" s="888" t="s">
        <v>694</v>
      </c>
      <c r="F15" s="888"/>
      <c r="I15" s="851" t="s">
        <v>275</v>
      </c>
      <c r="L15" s="851" t="s">
        <v>297</v>
      </c>
      <c r="M15" s="851"/>
      <c r="N15" s="851"/>
      <c r="O15" s="851"/>
      <c r="P15" s="879"/>
      <c r="R15" s="877"/>
      <c r="S15" s="889"/>
      <c r="T15" s="839"/>
      <c r="U15" s="886"/>
    </row>
    <row r="16" spans="1:21">
      <c r="A16" s="803" t="s">
        <v>695</v>
      </c>
      <c r="C16" s="890"/>
      <c r="D16" s="890"/>
      <c r="E16" s="879"/>
      <c r="F16" s="879"/>
      <c r="I16" s="879"/>
      <c r="L16" s="879"/>
      <c r="M16" s="879"/>
      <c r="N16" s="879"/>
      <c r="O16" s="879"/>
      <c r="P16" s="879"/>
      <c r="Q16" s="879"/>
      <c r="R16" s="877"/>
      <c r="S16" s="879"/>
      <c r="U16" s="886"/>
    </row>
    <row r="17" spans="1:21">
      <c r="A17" s="891"/>
      <c r="C17" s="886"/>
      <c r="D17" s="886"/>
      <c r="E17" s="879"/>
      <c r="F17" s="879"/>
      <c r="I17" s="879"/>
      <c r="L17" s="879"/>
      <c r="M17" s="879"/>
      <c r="N17" s="879"/>
      <c r="O17" s="879"/>
      <c r="P17" s="879"/>
      <c r="Q17" s="879"/>
      <c r="R17" s="877"/>
      <c r="S17" s="879"/>
      <c r="U17" s="886"/>
    </row>
    <row r="18" spans="1:21">
      <c r="A18" s="892">
        <v>1</v>
      </c>
      <c r="C18" s="886" t="s">
        <v>696</v>
      </c>
      <c r="D18" s="886"/>
      <c r="E18" s="893" t="s">
        <v>917</v>
      </c>
      <c r="F18" s="892"/>
      <c r="I18" s="872">
        <f>+'9 - Rate Base'!C26</f>
        <v>1759323170.5161541</v>
      </c>
      <c r="J18" s="1489"/>
      <c r="K18" s="1489"/>
      <c r="L18" s="1489"/>
      <c r="P18" s="879"/>
      <c r="Q18" s="879"/>
      <c r="R18" s="877"/>
      <c r="S18" s="879"/>
      <c r="U18" s="886"/>
    </row>
    <row r="19" spans="1:21">
      <c r="A19" s="892">
        <v>2</v>
      </c>
      <c r="C19" s="886" t="s">
        <v>697</v>
      </c>
      <c r="D19" s="886"/>
      <c r="E19" s="893" t="s">
        <v>918</v>
      </c>
      <c r="F19" s="892"/>
      <c r="I19" s="872">
        <f>+'9 - Rate Base'!K26</f>
        <v>1216778387.2084615</v>
      </c>
      <c r="J19" s="1489"/>
      <c r="K19" s="1489"/>
      <c r="L19" s="1489"/>
      <c r="P19" s="879"/>
      <c r="Q19" s="879"/>
      <c r="R19" s="877"/>
      <c r="S19" s="879"/>
      <c r="U19" s="886"/>
    </row>
    <row r="20" spans="1:21">
      <c r="A20" s="892"/>
      <c r="E20" s="893"/>
      <c r="F20" s="892"/>
      <c r="I20" s="1489"/>
      <c r="J20" s="1489"/>
      <c r="K20" s="1489"/>
      <c r="L20" s="1489"/>
      <c r="P20" s="879"/>
      <c r="Q20" s="879"/>
      <c r="R20" s="877"/>
      <c r="S20" s="879"/>
      <c r="U20" s="886"/>
    </row>
    <row r="21" spans="1:21">
      <c r="A21" s="892"/>
      <c r="C21" s="886" t="s">
        <v>698</v>
      </c>
      <c r="D21" s="886"/>
      <c r="E21" s="893"/>
      <c r="F21" s="892"/>
      <c r="I21" s="1816"/>
      <c r="J21" s="1489"/>
      <c r="K21" s="1489"/>
      <c r="L21" s="1816"/>
      <c r="M21" s="879"/>
      <c r="N21" s="879"/>
      <c r="O21" s="879"/>
      <c r="P21" s="879"/>
      <c r="Q21" s="879"/>
      <c r="R21" s="879"/>
      <c r="S21" s="879"/>
      <c r="U21" s="886"/>
    </row>
    <row r="22" spans="1:21">
      <c r="A22" s="892">
        <v>3</v>
      </c>
      <c r="C22" s="886" t="s">
        <v>699</v>
      </c>
      <c r="D22" s="886"/>
      <c r="E22" s="893" t="s">
        <v>919</v>
      </c>
      <c r="F22" s="892"/>
      <c r="I22" s="872">
        <f>+'ATT H-9A'!H171</f>
        <v>46492903.615140311</v>
      </c>
      <c r="J22" s="1489"/>
      <c r="K22" s="1489"/>
      <c r="L22" s="1489"/>
      <c r="P22" s="879"/>
      <c r="Q22" s="879"/>
      <c r="R22" s="879"/>
      <c r="S22" s="879"/>
      <c r="U22" s="886"/>
    </row>
    <row r="23" spans="1:21">
      <c r="A23" s="892">
        <v>4</v>
      </c>
      <c r="C23" s="886" t="s">
        <v>700</v>
      </c>
      <c r="D23" s="886"/>
      <c r="E23" s="893" t="s">
        <v>701</v>
      </c>
      <c r="F23" s="892"/>
      <c r="I23" s="901">
        <f>IF(I$18=0,0,I22/I$18)</f>
        <v>2.6426585174513517E-2</v>
      </c>
      <c r="J23" s="1489"/>
      <c r="K23" s="1489"/>
      <c r="L23" s="1817">
        <f>I23</f>
        <v>2.6426585174513517E-2</v>
      </c>
      <c r="M23" s="894"/>
      <c r="N23" s="894"/>
      <c r="O23" s="894"/>
      <c r="P23" s="879"/>
      <c r="Q23" s="895"/>
      <c r="R23" s="896"/>
      <c r="S23" s="897"/>
      <c r="U23" s="886"/>
    </row>
    <row r="24" spans="1:21">
      <c r="A24" s="892"/>
      <c r="C24" s="886"/>
      <c r="D24" s="886"/>
      <c r="E24" s="893"/>
      <c r="F24" s="892"/>
      <c r="I24" s="1818"/>
      <c r="J24" s="1489"/>
      <c r="K24" s="1489"/>
      <c r="L24" s="1817"/>
      <c r="M24" s="894"/>
      <c r="N24" s="894"/>
      <c r="O24" s="894"/>
      <c r="P24" s="879"/>
      <c r="Q24" s="895"/>
      <c r="R24" s="896"/>
      <c r="S24" s="897"/>
      <c r="U24" s="886"/>
    </row>
    <row r="25" spans="1:21">
      <c r="A25" s="885"/>
      <c r="C25" s="886" t="s">
        <v>702</v>
      </c>
      <c r="D25" s="886"/>
      <c r="E25" s="899"/>
      <c r="F25" s="900"/>
      <c r="I25" s="1816"/>
      <c r="J25" s="1489"/>
      <c r="K25" s="1489"/>
      <c r="L25" s="901"/>
      <c r="M25" s="879"/>
      <c r="N25" s="879"/>
      <c r="O25" s="879"/>
      <c r="P25" s="879"/>
      <c r="Q25" s="895"/>
      <c r="R25" s="896"/>
      <c r="S25" s="897"/>
      <c r="U25" s="886"/>
    </row>
    <row r="26" spans="1:21">
      <c r="A26" s="885" t="s">
        <v>703</v>
      </c>
      <c r="C26" s="886" t="s">
        <v>704</v>
      </c>
      <c r="D26" s="886"/>
      <c r="E26" s="893" t="s">
        <v>1014</v>
      </c>
      <c r="F26" s="892"/>
      <c r="I26" s="872">
        <f>+'ATT H-9A'!H187+'ATT H-9A'!H193+'ATT H-9A'!H179</f>
        <v>3100200.0121864676</v>
      </c>
      <c r="J26" s="1489"/>
      <c r="K26" s="1489"/>
      <c r="L26" s="901"/>
      <c r="P26" s="879"/>
      <c r="Q26" s="895"/>
      <c r="R26" s="896"/>
      <c r="S26" s="897"/>
      <c r="U26" s="886"/>
    </row>
    <row r="27" spans="1:21">
      <c r="A27" s="885" t="s">
        <v>705</v>
      </c>
      <c r="C27" s="886" t="s">
        <v>706</v>
      </c>
      <c r="D27" s="886"/>
      <c r="E27" s="893" t="s">
        <v>707</v>
      </c>
      <c r="F27" s="892"/>
      <c r="I27" s="901">
        <f>IF(I26=0,0,I26/I18)</f>
        <v>1.7621549378429003E-3</v>
      </c>
      <c r="J27" s="901"/>
      <c r="K27" s="901"/>
      <c r="L27" s="1817">
        <f>I27</f>
        <v>1.7621549378429003E-3</v>
      </c>
      <c r="M27" s="894"/>
      <c r="N27" s="894"/>
      <c r="O27" s="894"/>
      <c r="P27" s="879"/>
      <c r="Q27" s="895"/>
      <c r="R27" s="896"/>
      <c r="S27" s="897"/>
      <c r="U27" s="886"/>
    </row>
    <row r="28" spans="1:21">
      <c r="A28" s="892"/>
      <c r="C28" s="886"/>
      <c r="D28" s="886"/>
      <c r="E28" s="893"/>
      <c r="F28" s="892"/>
      <c r="I28" s="901"/>
      <c r="J28" s="901"/>
      <c r="K28" s="901"/>
      <c r="L28" s="1817"/>
      <c r="M28" s="894"/>
      <c r="N28" s="894"/>
      <c r="O28" s="894"/>
      <c r="P28" s="879"/>
      <c r="Q28" s="895"/>
      <c r="R28" s="896"/>
      <c r="S28" s="897"/>
      <c r="U28" s="886"/>
    </row>
    <row r="29" spans="1:21">
      <c r="A29" s="885"/>
      <c r="C29" s="886" t="s">
        <v>708</v>
      </c>
      <c r="D29" s="886"/>
      <c r="E29" s="899"/>
      <c r="F29" s="900"/>
      <c r="I29" s="901"/>
      <c r="J29" s="901"/>
      <c r="K29" s="901"/>
      <c r="L29" s="901"/>
      <c r="M29" s="879"/>
      <c r="N29" s="879"/>
      <c r="O29" s="879"/>
      <c r="P29" s="879"/>
      <c r="Q29" s="879"/>
      <c r="R29" s="879"/>
      <c r="S29" s="879"/>
      <c r="U29" s="886"/>
    </row>
    <row r="30" spans="1:21">
      <c r="A30" s="885" t="s">
        <v>709</v>
      </c>
      <c r="C30" s="886" t="s">
        <v>710</v>
      </c>
      <c r="D30" s="886"/>
      <c r="E30" s="893" t="s">
        <v>920</v>
      </c>
      <c r="F30" s="892"/>
      <c r="I30" s="872">
        <f>+'ATT H-9A'!H202</f>
        <v>13070119.076989416</v>
      </c>
      <c r="J30" s="901"/>
      <c r="K30" s="901"/>
      <c r="L30" s="901"/>
      <c r="P30" s="879"/>
      <c r="Q30" s="889"/>
      <c r="R30" s="879"/>
      <c r="S30" s="892"/>
      <c r="T30" s="839"/>
      <c r="U30" s="886"/>
    </row>
    <row r="31" spans="1:21">
      <c r="A31" s="885" t="s">
        <v>711</v>
      </c>
      <c r="C31" s="886" t="s">
        <v>712</v>
      </c>
      <c r="D31" s="886"/>
      <c r="E31" s="893" t="s">
        <v>713</v>
      </c>
      <c r="F31" s="892"/>
      <c r="I31" s="901">
        <f>IF(I30=0,0,I30/I18)</f>
        <v>7.4290609570923094E-3</v>
      </c>
      <c r="J31" s="901"/>
      <c r="K31" s="901"/>
      <c r="L31" s="1817">
        <f>I31</f>
        <v>7.4290609570923094E-3</v>
      </c>
      <c r="M31" s="894"/>
      <c r="N31" s="894"/>
      <c r="O31" s="894"/>
      <c r="P31" s="879"/>
      <c r="Q31" s="895"/>
      <c r="R31" s="879"/>
      <c r="S31" s="897"/>
      <c r="T31" s="839"/>
      <c r="U31" s="886"/>
    </row>
    <row r="32" spans="1:21">
      <c r="A32" s="885"/>
      <c r="C32" s="886"/>
      <c r="D32" s="886"/>
      <c r="E32" s="893"/>
      <c r="F32" s="892"/>
      <c r="I32" s="1816"/>
      <c r="J32" s="1489"/>
      <c r="K32" s="1489"/>
      <c r="L32" s="901"/>
      <c r="M32" s="879"/>
      <c r="N32" s="879"/>
      <c r="O32" s="879"/>
      <c r="P32" s="879"/>
      <c r="U32" s="886"/>
    </row>
    <row r="33" spans="1:21">
      <c r="A33" s="885" t="s">
        <v>714</v>
      </c>
      <c r="C33" s="886" t="s">
        <v>893</v>
      </c>
      <c r="D33" s="886"/>
      <c r="E33" s="893" t="s">
        <v>1147</v>
      </c>
      <c r="F33" s="892"/>
      <c r="I33" s="872">
        <f>-'ATT H-9A'!H298</f>
        <v>-7631728.9909684658</v>
      </c>
      <c r="J33" s="1489"/>
      <c r="K33" s="1489"/>
      <c r="L33" s="901"/>
      <c r="M33" s="879"/>
      <c r="N33" s="879"/>
      <c r="O33" s="879"/>
      <c r="P33" s="879"/>
      <c r="U33" s="886"/>
    </row>
    <row r="34" spans="1:21">
      <c r="A34" s="885" t="s">
        <v>715</v>
      </c>
      <c r="C34" s="886" t="s">
        <v>716</v>
      </c>
      <c r="D34" s="886"/>
      <c r="E34" s="893" t="s">
        <v>717</v>
      </c>
      <c r="F34" s="892"/>
      <c r="I34" s="901">
        <f>IF(I$18=0,0,I33/I$18)</f>
        <v>-4.3378778378332008E-3</v>
      </c>
      <c r="J34" s="1489"/>
      <c r="K34" s="1489"/>
      <c r="L34" s="901">
        <f>+I34</f>
        <v>-4.3378778378332008E-3</v>
      </c>
      <c r="M34" s="879"/>
      <c r="N34" s="879"/>
      <c r="O34" s="879"/>
      <c r="P34" s="879"/>
      <c r="U34" s="886"/>
    </row>
    <row r="35" spans="1:21">
      <c r="A35" s="885"/>
      <c r="C35" s="886"/>
      <c r="D35" s="886"/>
      <c r="E35" s="893"/>
      <c r="F35" s="892"/>
      <c r="I35" s="1816"/>
      <c r="J35" s="1489"/>
      <c r="K35" s="1489"/>
      <c r="L35" s="901"/>
      <c r="M35" s="879"/>
      <c r="N35" s="879"/>
      <c r="O35" s="879"/>
      <c r="P35" s="879"/>
      <c r="U35" s="886"/>
    </row>
    <row r="36" spans="1:21">
      <c r="A36" s="902" t="s">
        <v>718</v>
      </c>
      <c r="B36" s="903"/>
      <c r="C36" s="890" t="s">
        <v>719</v>
      </c>
      <c r="D36" s="890"/>
      <c r="E36" s="904" t="s">
        <v>720</v>
      </c>
      <c r="F36" s="887"/>
      <c r="I36" s="1819"/>
      <c r="J36" s="1489"/>
      <c r="K36" s="1489"/>
      <c r="L36" s="1820">
        <f>L23+L27+L31+L34</f>
        <v>3.1279923231615527E-2</v>
      </c>
      <c r="M36" s="905"/>
      <c r="N36" s="905"/>
      <c r="O36" s="905"/>
      <c r="P36" s="879"/>
      <c r="U36" s="886"/>
    </row>
    <row r="37" spans="1:21">
      <c r="A37" s="885"/>
      <c r="C37" s="886"/>
      <c r="D37" s="886"/>
      <c r="E37" s="893"/>
      <c r="F37" s="892"/>
      <c r="I37" s="1816"/>
      <c r="J37" s="1489"/>
      <c r="K37" s="1489"/>
      <c r="L37" s="901"/>
      <c r="M37" s="879"/>
      <c r="N37" s="879"/>
      <c r="O37" s="879"/>
      <c r="P37" s="879"/>
      <c r="Q37" s="879"/>
      <c r="R37" s="879"/>
      <c r="S37" s="906"/>
      <c r="U37" s="886"/>
    </row>
    <row r="38" spans="1:21">
      <c r="A38" s="885"/>
      <c r="B38" s="907"/>
      <c r="C38" s="879" t="s">
        <v>688</v>
      </c>
      <c r="D38" s="879"/>
      <c r="E38" s="893"/>
      <c r="F38" s="892"/>
      <c r="I38" s="1816"/>
      <c r="J38" s="1489"/>
      <c r="K38" s="1489"/>
      <c r="L38" s="901"/>
      <c r="M38" s="879"/>
      <c r="N38" s="879"/>
      <c r="O38" s="879"/>
      <c r="P38" s="908"/>
      <c r="Q38" s="907"/>
      <c r="T38" s="839"/>
      <c r="U38" s="879" t="s">
        <v>101</v>
      </c>
    </row>
    <row r="39" spans="1:21">
      <c r="A39" s="885" t="s">
        <v>721</v>
      </c>
      <c r="B39" s="907"/>
      <c r="C39" s="879" t="s">
        <v>241</v>
      </c>
      <c r="D39" s="879"/>
      <c r="E39" s="893" t="s">
        <v>921</v>
      </c>
      <c r="F39" s="892"/>
      <c r="I39" s="872">
        <f>+'ATT H-9A'!H285</f>
        <v>3201842.7983645839</v>
      </c>
      <c r="J39" s="1489"/>
      <c r="K39" s="1489"/>
      <c r="L39" s="901"/>
      <c r="M39" s="879"/>
      <c r="N39" s="879"/>
      <c r="O39" s="879"/>
      <c r="P39" s="908"/>
      <c r="Q39" s="907"/>
      <c r="T39" s="839"/>
      <c r="U39" s="879"/>
    </row>
    <row r="40" spans="1:21">
      <c r="A40" s="885" t="s">
        <v>722</v>
      </c>
      <c r="B40" s="907"/>
      <c r="C40" s="879" t="s">
        <v>723</v>
      </c>
      <c r="D40" s="879"/>
      <c r="E40" s="893" t="s">
        <v>724</v>
      </c>
      <c r="F40" s="892"/>
      <c r="I40" s="901">
        <f>IF(I19=0,0,I39/I19)</f>
        <v>2.6314099856016232E-3</v>
      </c>
      <c r="J40" s="1489"/>
      <c r="K40" s="1489"/>
      <c r="L40" s="1817">
        <f>I40</f>
        <v>2.6314099856016232E-3</v>
      </c>
      <c r="M40" s="894"/>
      <c r="N40" s="894"/>
      <c r="O40" s="894"/>
      <c r="P40" s="908"/>
      <c r="Q40" s="907"/>
      <c r="R40" s="879"/>
      <c r="S40" s="879"/>
      <c r="T40" s="839"/>
      <c r="U40" s="879"/>
    </row>
    <row r="41" spans="1:21">
      <c r="A41" s="885"/>
      <c r="C41" s="879"/>
      <c r="D41" s="879"/>
      <c r="E41" s="893"/>
      <c r="F41" s="892"/>
      <c r="I41" s="1816"/>
      <c r="J41" s="1489"/>
      <c r="K41" s="1489"/>
      <c r="L41" s="901"/>
      <c r="M41" s="879"/>
      <c r="N41" s="879"/>
      <c r="O41" s="879"/>
      <c r="P41" s="879"/>
      <c r="R41" s="877"/>
      <c r="S41" s="879"/>
      <c r="T41" s="838"/>
      <c r="U41" s="886"/>
    </row>
    <row r="42" spans="1:21">
      <c r="A42" s="885"/>
      <c r="C42" s="886" t="s">
        <v>725</v>
      </c>
      <c r="D42" s="886"/>
      <c r="E42" s="909"/>
      <c r="F42" s="910"/>
      <c r="I42" s="1489"/>
      <c r="J42" s="1489"/>
      <c r="K42" s="1489"/>
      <c r="L42" s="901"/>
      <c r="P42" s="879"/>
      <c r="R42" s="879"/>
      <c r="S42" s="879"/>
      <c r="U42" s="886"/>
    </row>
    <row r="43" spans="1:21">
      <c r="A43" s="885" t="s">
        <v>726</v>
      </c>
      <c r="C43" s="886" t="s">
        <v>727</v>
      </c>
      <c r="D43" s="886"/>
      <c r="E43" s="893" t="s">
        <v>922</v>
      </c>
      <c r="F43" s="892"/>
      <c r="I43" s="872">
        <f>+'ATT H-9A'!H284</f>
        <v>75164346.288213998</v>
      </c>
      <c r="J43" s="1489"/>
      <c r="K43" s="1489"/>
      <c r="L43" s="901"/>
      <c r="M43" s="879"/>
      <c r="N43" s="879"/>
      <c r="O43" s="879"/>
      <c r="P43" s="879"/>
      <c r="R43" s="879"/>
      <c r="S43" s="879"/>
      <c r="U43" s="886"/>
    </row>
    <row r="44" spans="1:21">
      <c r="A44" s="885" t="s">
        <v>728</v>
      </c>
      <c r="B44" s="907"/>
      <c r="C44" s="879" t="s">
        <v>729</v>
      </c>
      <c r="D44" s="879"/>
      <c r="E44" s="893" t="s">
        <v>730</v>
      </c>
      <c r="F44" s="892"/>
      <c r="I44" s="901">
        <f>IF(I19=0,0,I43/I19)</f>
        <v>6.1773242423097591E-2</v>
      </c>
      <c r="J44" s="1489"/>
      <c r="K44" s="1489"/>
      <c r="L44" s="1817">
        <f>I44</f>
        <v>6.1773242423097591E-2</v>
      </c>
      <c r="M44" s="894"/>
      <c r="N44" s="894"/>
      <c r="O44" s="894"/>
      <c r="P44" s="879"/>
      <c r="S44" s="911"/>
      <c r="T44" s="839"/>
      <c r="U44" s="879"/>
    </row>
    <row r="45" spans="1:21">
      <c r="A45" s="885"/>
      <c r="C45" s="886"/>
      <c r="D45" s="886"/>
      <c r="E45" s="893"/>
      <c r="F45" s="892"/>
      <c r="I45" s="1816"/>
      <c r="J45" s="1489"/>
      <c r="K45" s="1489"/>
      <c r="L45" s="901"/>
      <c r="M45" s="879"/>
      <c r="N45" s="879"/>
      <c r="O45" s="879"/>
      <c r="P45" s="879"/>
      <c r="Q45" s="910"/>
      <c r="R45" s="879"/>
      <c r="S45" s="879"/>
      <c r="U45" s="886"/>
    </row>
    <row r="46" spans="1:21">
      <c r="A46" s="902" t="s">
        <v>731</v>
      </c>
      <c r="B46" s="903"/>
      <c r="C46" s="890" t="s">
        <v>732</v>
      </c>
      <c r="D46" s="890"/>
      <c r="E46" s="904" t="s">
        <v>733</v>
      </c>
      <c r="F46" s="887"/>
      <c r="I46" s="901">
        <f>+I44+I40</f>
        <v>6.440465240869922E-2</v>
      </c>
      <c r="J46" s="1489"/>
      <c r="K46" s="1489"/>
      <c r="L46" s="1820">
        <f>L40+L44</f>
        <v>6.440465240869922E-2</v>
      </c>
      <c r="M46" s="905"/>
      <c r="N46" s="905"/>
      <c r="O46" s="905"/>
      <c r="P46" s="879"/>
      <c r="Q46" s="910"/>
      <c r="R46" s="879"/>
      <c r="S46" s="879"/>
      <c r="U46" s="886"/>
    </row>
    <row r="47" spans="1:21">
      <c r="P47" s="912"/>
      <c r="Q47" s="912"/>
      <c r="R47" s="879"/>
      <c r="S47" s="879"/>
      <c r="U47" s="886"/>
    </row>
    <row r="48" spans="1:21">
      <c r="P48" s="912"/>
      <c r="Q48" s="912"/>
      <c r="R48" s="879"/>
      <c r="S48" s="879"/>
      <c r="U48" s="886"/>
    </row>
    <row r="49" spans="1:21">
      <c r="A49" s="913"/>
      <c r="C49" s="885"/>
      <c r="D49" s="885"/>
      <c r="E49" s="900"/>
      <c r="F49" s="900"/>
      <c r="G49" s="879"/>
      <c r="J49" s="898"/>
      <c r="P49" s="879"/>
      <c r="Q49" s="895"/>
      <c r="R49" s="914"/>
      <c r="S49" s="879"/>
      <c r="T49" s="839"/>
      <c r="U49" s="879"/>
    </row>
    <row r="50" spans="1:21">
      <c r="A50" s="803"/>
      <c r="G50" s="879"/>
      <c r="P50" s="879"/>
      <c r="Q50" s="879"/>
      <c r="R50" s="879"/>
      <c r="S50" s="879"/>
      <c r="T50" s="839"/>
      <c r="U50" s="879" t="s">
        <v>101</v>
      </c>
    </row>
    <row r="51" spans="1:21">
      <c r="Q51" s="871"/>
    </row>
    <row r="52" spans="1:21">
      <c r="Q52" s="871"/>
    </row>
    <row r="54" spans="1:21">
      <c r="A54" s="803"/>
      <c r="G54" s="879"/>
      <c r="P54" s="879"/>
      <c r="Q54" s="871"/>
      <c r="R54" s="879"/>
      <c r="S54" s="877"/>
      <c r="U54" s="886"/>
    </row>
    <row r="55" spans="1:21">
      <c r="A55" s="803"/>
      <c r="C55" s="886"/>
      <c r="D55" s="886"/>
      <c r="G55" s="900" t="s">
        <v>404</v>
      </c>
      <c r="H55" s="900"/>
      <c r="P55" s="879"/>
      <c r="Q55" s="871"/>
      <c r="R55" s="879"/>
      <c r="U55" s="886"/>
    </row>
    <row r="56" spans="1:21">
      <c r="A56" s="803"/>
      <c r="C56" s="886"/>
      <c r="D56" s="886"/>
      <c r="G56" s="1483" t="s">
        <v>1525</v>
      </c>
      <c r="H56" s="900"/>
      <c r="L56" s="879"/>
      <c r="M56" s="879"/>
      <c r="N56" s="879"/>
      <c r="O56" s="879"/>
      <c r="P56" s="879"/>
      <c r="R56" s="879"/>
      <c r="S56" s="877"/>
      <c r="U56" s="886"/>
    </row>
    <row r="57" spans="1:21" ht="14.25" customHeight="1">
      <c r="A57" s="803"/>
      <c r="G57" s="808" t="s">
        <v>344</v>
      </c>
      <c r="P57" s="879"/>
      <c r="R57" s="879"/>
      <c r="S57" s="877"/>
      <c r="U57" s="886"/>
    </row>
    <row r="58" spans="1:21">
      <c r="A58" s="803"/>
      <c r="H58" s="900"/>
      <c r="P58" s="879"/>
      <c r="Q58" s="879"/>
      <c r="R58" s="879"/>
      <c r="S58" s="877"/>
      <c r="U58" s="886"/>
    </row>
    <row r="59" spans="1:21">
      <c r="A59" s="803"/>
      <c r="E59" s="886"/>
      <c r="F59" s="886"/>
      <c r="G59" s="886"/>
      <c r="H59" s="886"/>
      <c r="I59" s="886"/>
      <c r="J59" s="886"/>
      <c r="K59" s="886"/>
      <c r="L59" s="886"/>
      <c r="M59" s="886"/>
      <c r="N59" s="886"/>
      <c r="O59" s="886"/>
      <c r="P59" s="886"/>
      <c r="Q59" s="886"/>
      <c r="R59" s="879"/>
      <c r="S59" s="877"/>
      <c r="U59" s="886"/>
    </row>
    <row r="60" spans="1:21">
      <c r="A60" s="803"/>
      <c r="E60" s="890"/>
      <c r="F60" s="890"/>
      <c r="H60" s="886"/>
      <c r="I60" s="877"/>
      <c r="J60" s="877"/>
      <c r="K60" s="877"/>
      <c r="L60" s="877"/>
      <c r="M60" s="877"/>
      <c r="N60" s="877"/>
      <c r="O60" s="877"/>
      <c r="P60" s="879"/>
      <c r="Q60" s="879"/>
      <c r="R60" s="879"/>
      <c r="S60" s="877"/>
      <c r="U60" s="886"/>
    </row>
    <row r="61" spans="1:21">
      <c r="A61" s="803"/>
      <c r="E61" s="890"/>
      <c r="F61" s="890"/>
      <c r="G61" s="890"/>
      <c r="H61" s="886"/>
      <c r="I61" s="877"/>
      <c r="J61" s="877"/>
      <c r="K61" s="877"/>
      <c r="L61" s="877"/>
      <c r="M61" s="877"/>
      <c r="N61" s="877"/>
      <c r="O61" s="877"/>
      <c r="P61" s="879"/>
      <c r="Q61" s="879"/>
      <c r="R61" s="879"/>
      <c r="S61" s="877"/>
      <c r="U61" s="886"/>
    </row>
    <row r="62" spans="1:21">
      <c r="A62" s="803"/>
      <c r="C62" s="915">
        <v>-1</v>
      </c>
      <c r="D62" s="915">
        <v>-2</v>
      </c>
      <c r="E62" s="915">
        <v>-3</v>
      </c>
      <c r="F62" s="915">
        <v>-4</v>
      </c>
      <c r="G62" s="915">
        <v>-5</v>
      </c>
      <c r="H62" s="915">
        <v>-6</v>
      </c>
      <c r="I62" s="915">
        <v>-7</v>
      </c>
      <c r="J62" s="915">
        <v>-8</v>
      </c>
      <c r="K62" s="915">
        <v>-9</v>
      </c>
      <c r="L62" s="915">
        <v>-10</v>
      </c>
      <c r="M62" s="915">
        <v>-11</v>
      </c>
      <c r="N62" s="915">
        <v>-12</v>
      </c>
      <c r="O62" s="915">
        <v>-13</v>
      </c>
      <c r="P62" s="916" t="s">
        <v>734</v>
      </c>
      <c r="Q62" s="916" t="s">
        <v>735</v>
      </c>
      <c r="U62" s="886"/>
    </row>
    <row r="63" spans="1:21" ht="53.25" customHeight="1">
      <c r="A63" s="917" t="s">
        <v>736</v>
      </c>
      <c r="B63" s="918"/>
      <c r="C63" s="1484" t="s">
        <v>1526</v>
      </c>
      <c r="D63" s="1485" t="s">
        <v>1527</v>
      </c>
      <c r="E63" s="919" t="s">
        <v>739</v>
      </c>
      <c r="F63" s="919" t="s">
        <v>719</v>
      </c>
      <c r="G63" s="920" t="s">
        <v>740</v>
      </c>
      <c r="H63" s="919" t="s">
        <v>741</v>
      </c>
      <c r="I63" s="919" t="s">
        <v>732</v>
      </c>
      <c r="J63" s="920" t="s">
        <v>742</v>
      </c>
      <c r="K63" s="919" t="s">
        <v>743</v>
      </c>
      <c r="L63" s="921" t="s">
        <v>744</v>
      </c>
      <c r="M63" s="921" t="s">
        <v>745</v>
      </c>
      <c r="N63" s="921" t="s">
        <v>746</v>
      </c>
      <c r="O63" s="921" t="s">
        <v>747</v>
      </c>
      <c r="P63" s="921" t="s">
        <v>748</v>
      </c>
      <c r="Q63" s="921" t="s">
        <v>749</v>
      </c>
      <c r="U63" s="886"/>
    </row>
    <row r="64" spans="1:21" ht="46.5" customHeight="1">
      <c r="A64" s="922"/>
      <c r="B64" s="923"/>
      <c r="C64" s="923"/>
      <c r="D64" s="923"/>
      <c r="E64" s="924" t="s">
        <v>82</v>
      </c>
      <c r="F64" s="924" t="s">
        <v>750</v>
      </c>
      <c r="G64" s="925" t="s">
        <v>751</v>
      </c>
      <c r="H64" s="924" t="s">
        <v>752</v>
      </c>
      <c r="I64" s="924" t="s">
        <v>753</v>
      </c>
      <c r="J64" s="925" t="s">
        <v>754</v>
      </c>
      <c r="K64" s="924" t="s">
        <v>755</v>
      </c>
      <c r="L64" s="925" t="s">
        <v>756</v>
      </c>
      <c r="M64" s="924" t="s">
        <v>757</v>
      </c>
      <c r="N64" s="926" t="s">
        <v>1985</v>
      </c>
      <c r="O64" s="927" t="s">
        <v>758</v>
      </c>
      <c r="P64" s="928" t="s">
        <v>759</v>
      </c>
      <c r="Q64" s="927" t="s">
        <v>864</v>
      </c>
      <c r="U64" s="886"/>
    </row>
    <row r="65" spans="1:21">
      <c r="A65" s="929"/>
      <c r="B65" s="877"/>
      <c r="C65" s="877"/>
      <c r="D65" s="877"/>
      <c r="E65" s="877"/>
      <c r="F65" s="877"/>
      <c r="G65" s="930"/>
      <c r="H65" s="877"/>
      <c r="I65" s="877"/>
      <c r="J65" s="930"/>
      <c r="K65" s="877"/>
      <c r="L65" s="930"/>
      <c r="M65" s="931"/>
      <c r="N65" s="930"/>
      <c r="O65" s="930"/>
      <c r="P65" s="879"/>
      <c r="Q65" s="932"/>
      <c r="U65" s="886"/>
    </row>
    <row r="66" spans="1:21">
      <c r="A66" s="933" t="s">
        <v>260</v>
      </c>
      <c r="B66" s="934"/>
      <c r="C66" s="1821" t="s">
        <v>1950</v>
      </c>
      <c r="D66" s="1490" t="s">
        <v>760</v>
      </c>
      <c r="E66" s="939">
        <f>+'9 - Rate Base'!C26-SUM('6-Project Rev Req'!E67:E83)</f>
        <v>1415139266.326154</v>
      </c>
      <c r="F66" s="901">
        <f t="shared" ref="F66:F83" si="0">$L$36</f>
        <v>3.1279923231615527E-2</v>
      </c>
      <c r="G66" s="936">
        <f t="shared" ref="G66:G83" si="1">E66*F66</f>
        <v>44265447.612726815</v>
      </c>
      <c r="H66" s="939">
        <f>+'9 - Rate Base'!K26-SUM(H67:H83)</f>
        <v>948225076.70736635</v>
      </c>
      <c r="I66" s="901">
        <f>$L$46</f>
        <v>6.440465240869922E-2</v>
      </c>
      <c r="J66" s="936">
        <f>H66*I66</f>
        <v>61070106.470550083</v>
      </c>
      <c r="K66" s="940">
        <f>+'ATT H-9A'!H177-SUM('6-Project Rev Req'!K67:K83)</f>
        <v>30322842.165999997</v>
      </c>
      <c r="L66" s="936">
        <f>G66+J66+K66</f>
        <v>135658396.24927691</v>
      </c>
      <c r="M66" s="941">
        <v>0</v>
      </c>
      <c r="N66" s="936">
        <v>0</v>
      </c>
      <c r="O66" s="936">
        <f>+L66+N66</f>
        <v>135658396.24927691</v>
      </c>
      <c r="P66" s="941"/>
      <c r="Q66" s="936">
        <f t="shared" ref="Q66:Q83" si="2">+O66+P66</f>
        <v>135658396.24927691</v>
      </c>
    </row>
    <row r="67" spans="1:21">
      <c r="A67" s="933" t="s">
        <v>202</v>
      </c>
      <c r="B67" s="934"/>
      <c r="C67" s="1822" t="s">
        <v>1951</v>
      </c>
      <c r="D67" s="938" t="s">
        <v>1952</v>
      </c>
      <c r="E67" s="939">
        <f>+'7 - Cap Add WS'!E31</f>
        <v>33558380</v>
      </c>
      <c r="F67" s="901">
        <f t="shared" si="0"/>
        <v>3.1279923231615527E-2</v>
      </c>
      <c r="G67" s="936">
        <f t="shared" si="1"/>
        <v>1049703.5501773818</v>
      </c>
      <c r="H67" s="939">
        <f>AVERAGE('7 - Cap Add WS'!G61,'7 - Cap Add WS'!G59)</f>
        <v>23051411.023809511</v>
      </c>
      <c r="I67" s="901">
        <f t="shared" ref="I67:I83" si="3">$L$46</f>
        <v>6.440465240869922E-2</v>
      </c>
      <c r="J67" s="936">
        <f t="shared" ref="J67:J83" si="4">H67*I67</f>
        <v>1484618.114518509</v>
      </c>
      <c r="K67" s="940">
        <f>+'7 - Cap Add WS'!F61</f>
        <v>958810.85714285716</v>
      </c>
      <c r="L67" s="936">
        <f t="shared" ref="L67" si="5">G67+J67+K67</f>
        <v>3493132.5218387479</v>
      </c>
      <c r="M67" s="941">
        <f>+'7 - Cap Add WS'!E$28</f>
        <v>150</v>
      </c>
      <c r="N67" s="936">
        <f>IF(M67=150,'7 - Cap Add WS'!$H$61-'7 - Cap Add WS'!$H$60,0)</f>
        <v>188967.02669516439</v>
      </c>
      <c r="O67" s="936">
        <f>+L67+N67</f>
        <v>3682099.5485339123</v>
      </c>
      <c r="P67" s="941"/>
      <c r="Q67" s="936">
        <f t="shared" si="2"/>
        <v>3682099.5485339123</v>
      </c>
    </row>
    <row r="68" spans="1:21">
      <c r="A68" s="933" t="s">
        <v>262</v>
      </c>
      <c r="B68" s="934"/>
      <c r="C68" s="1822" t="s">
        <v>1953</v>
      </c>
      <c r="D68" s="938" t="s">
        <v>1954</v>
      </c>
      <c r="E68" s="939">
        <f>+'7 - Cap Add WS'!I31</f>
        <v>36700000</v>
      </c>
      <c r="F68" s="901">
        <f t="shared" si="0"/>
        <v>3.1279923231615527E-2</v>
      </c>
      <c r="G68" s="936">
        <f t="shared" si="1"/>
        <v>1147973.1826002898</v>
      </c>
      <c r="H68" s="939">
        <f>AVERAGE('7 - Cap Add WS'!K61,'7 - Cap Add WS'!K59)</f>
        <v>27437619.047619052</v>
      </c>
      <c r="I68" s="901">
        <f t="shared" si="3"/>
        <v>6.440465240869922E-2</v>
      </c>
      <c r="J68" s="936">
        <f t="shared" si="4"/>
        <v>1767110.3176842099</v>
      </c>
      <c r="K68" s="940">
        <f>+'7 - Cap Add WS'!J61</f>
        <v>1048571.4285714285</v>
      </c>
      <c r="L68" s="936">
        <f>G68+J68+K68</f>
        <v>3963654.9288559281</v>
      </c>
      <c r="M68" s="941">
        <f>+'7 - Cap Add WS'!I$28</f>
        <v>150</v>
      </c>
      <c r="N68" s="936">
        <f>IF(M68=150,'7 - Cap Add WS'!$L$61-'7 - Cap Add WS'!$L$60,0)</f>
        <v>225311.50619282061</v>
      </c>
      <c r="O68" s="936">
        <f t="shared" ref="O68:O83" si="6">+L68+N68</f>
        <v>4188966.4350487487</v>
      </c>
      <c r="P68" s="941"/>
      <c r="Q68" s="936">
        <f t="shared" si="2"/>
        <v>4188966.4350487487</v>
      </c>
    </row>
    <row r="69" spans="1:21">
      <c r="A69" s="933" t="s">
        <v>263</v>
      </c>
      <c r="B69" s="934"/>
      <c r="C69" s="1822" t="s">
        <v>1955</v>
      </c>
      <c r="D69" s="938" t="s">
        <v>1956</v>
      </c>
      <c r="E69" s="939">
        <f>+'7 - Cap Add WS'!M31</f>
        <v>20000000</v>
      </c>
      <c r="F69" s="901">
        <f t="shared" si="0"/>
        <v>3.1279923231615527E-2</v>
      </c>
      <c r="G69" s="936">
        <f t="shared" si="1"/>
        <v>625598.46463231056</v>
      </c>
      <c r="H69" s="939">
        <f>AVERAGE('7 - Cap Add WS'!O61,'7 - Cap Add WS'!O59)</f>
        <v>14952380.952380957</v>
      </c>
      <c r="I69" s="901">
        <f t="shared" si="3"/>
        <v>6.440465240869922E-2</v>
      </c>
      <c r="J69" s="936">
        <f t="shared" si="4"/>
        <v>963002.89792055055</v>
      </c>
      <c r="K69" s="940">
        <f>+'7 - Cap Add WS'!N61</f>
        <v>571428.57142857148</v>
      </c>
      <c r="L69" s="936">
        <f>G69+J69+K69</f>
        <v>2160029.9339814326</v>
      </c>
      <c r="M69" s="941">
        <f>+'7 - Cap Add WS'!M$28</f>
        <v>150</v>
      </c>
      <c r="N69" s="936">
        <f>IF(M69=150,'7 - Cap Add WS'!$P$61-'7 - Cap Add WS'!$P$60,0)</f>
        <v>122785.56195794046</v>
      </c>
      <c r="O69" s="936">
        <f t="shared" si="6"/>
        <v>2282815.495939373</v>
      </c>
      <c r="P69" s="941"/>
      <c r="Q69" s="936">
        <f t="shared" si="2"/>
        <v>2282815.495939373</v>
      </c>
    </row>
    <row r="70" spans="1:21">
      <c r="A70" s="933" t="s">
        <v>264</v>
      </c>
      <c r="B70" s="934"/>
      <c r="C70" s="1822" t="s">
        <v>1957</v>
      </c>
      <c r="D70" s="938" t="s">
        <v>1958</v>
      </c>
      <c r="E70" s="939">
        <f>+'7 - Cap Add WS'!Q31</f>
        <v>2000000</v>
      </c>
      <c r="F70" s="901">
        <f t="shared" si="0"/>
        <v>3.1279923231615527E-2</v>
      </c>
      <c r="G70" s="936">
        <f t="shared" si="1"/>
        <v>62559.84646323105</v>
      </c>
      <c r="H70" s="939">
        <f>AVERAGE('7 - Cap Add WS'!S61,'7 - Cap Add WS'!S59)</f>
        <v>1495238.0952380961</v>
      </c>
      <c r="I70" s="901">
        <f t="shared" si="3"/>
        <v>6.440465240869922E-2</v>
      </c>
      <c r="J70" s="936">
        <f t="shared" si="4"/>
        <v>96300.289792055075</v>
      </c>
      <c r="K70" s="940">
        <f>+'7 - Cap Add WS'!R61</f>
        <v>57142.857142857145</v>
      </c>
      <c r="L70" s="936">
        <f t="shared" ref="L70:L83" si="7">G70+J70+K70</f>
        <v>216002.99339814327</v>
      </c>
      <c r="M70" s="941">
        <f>+'7 - Cap Add WS'!Q$28</f>
        <v>0</v>
      </c>
      <c r="N70" s="936">
        <f>IF(M70=150,'7 - Cap Add WS'!$T$59-'7 - Cap Add WS'!$T$58,0)</f>
        <v>0</v>
      </c>
      <c r="O70" s="936">
        <f t="shared" si="6"/>
        <v>216002.99339814327</v>
      </c>
      <c r="P70" s="941"/>
      <c r="Q70" s="936">
        <f t="shared" si="2"/>
        <v>216002.99339814327</v>
      </c>
    </row>
    <row r="71" spans="1:21">
      <c r="A71" s="933" t="s">
        <v>266</v>
      </c>
      <c r="B71" s="934"/>
      <c r="C71" s="1822" t="s">
        <v>1959</v>
      </c>
      <c r="D71" s="938" t="s">
        <v>1960</v>
      </c>
      <c r="E71" s="939">
        <f>+'7 - Cap Add WS'!U31</f>
        <v>2000000</v>
      </c>
      <c r="F71" s="901">
        <f t="shared" si="0"/>
        <v>3.1279923231615527E-2</v>
      </c>
      <c r="G71" s="936">
        <f t="shared" si="1"/>
        <v>62559.84646323105</v>
      </c>
      <c r="H71" s="939">
        <f>AVERAGE('7 - Cap Add WS'!W61,'7 - Cap Add WS'!W59)</f>
        <v>1495238.0952380961</v>
      </c>
      <c r="I71" s="901">
        <f t="shared" si="3"/>
        <v>6.440465240869922E-2</v>
      </c>
      <c r="J71" s="936">
        <f t="shared" si="4"/>
        <v>96300.289792055075</v>
      </c>
      <c r="K71" s="940">
        <f>+'7 - Cap Add WS'!V61</f>
        <v>57142.857142857145</v>
      </c>
      <c r="L71" s="936">
        <f t="shared" si="7"/>
        <v>216002.99339814327</v>
      </c>
      <c r="M71" s="941">
        <f>+'7 - Cap Add WS'!U$28</f>
        <v>0</v>
      </c>
      <c r="N71" s="936">
        <f>IF(M71=150,'7 - Cap Add WS'!$X$59-'7 - Cap Add WS'!$X$58,0)</f>
        <v>0</v>
      </c>
      <c r="O71" s="936">
        <f t="shared" si="6"/>
        <v>216002.99339814327</v>
      </c>
      <c r="P71" s="941"/>
      <c r="Q71" s="936">
        <f t="shared" si="2"/>
        <v>216002.99339814327</v>
      </c>
    </row>
    <row r="72" spans="1:21">
      <c r="A72" s="933" t="s">
        <v>267</v>
      </c>
      <c r="B72" s="934"/>
      <c r="C72" s="1822" t="s">
        <v>1961</v>
      </c>
      <c r="D72" s="938" t="s">
        <v>1962</v>
      </c>
      <c r="E72" s="939">
        <f>+'7 - Cap Add WS'!Y31</f>
        <v>2000000</v>
      </c>
      <c r="F72" s="901">
        <f t="shared" si="0"/>
        <v>3.1279923231615527E-2</v>
      </c>
      <c r="G72" s="936">
        <f t="shared" si="1"/>
        <v>62559.84646323105</v>
      </c>
      <c r="H72" s="939">
        <f>AVERAGE('7 - Cap Add WS'!AA61,'7 - Cap Add WS'!AA59)</f>
        <v>1495238.0952380961</v>
      </c>
      <c r="I72" s="901">
        <f t="shared" si="3"/>
        <v>6.440465240869922E-2</v>
      </c>
      <c r="J72" s="936">
        <f t="shared" si="4"/>
        <v>96300.289792055075</v>
      </c>
      <c r="K72" s="940">
        <f>+'7 - Cap Add WS'!Z61</f>
        <v>57142.857142857145</v>
      </c>
      <c r="L72" s="936">
        <f t="shared" si="7"/>
        <v>216002.99339814327</v>
      </c>
      <c r="M72" s="941">
        <f>+'7 - Cap Add WS'!Y$28</f>
        <v>0</v>
      </c>
      <c r="N72" s="936">
        <f>IF(M72=150,'7 - Cap Add WS'!$AB$59-'7 - Cap Add WS'!$AB$58,0)</f>
        <v>0</v>
      </c>
      <c r="O72" s="936">
        <f t="shared" si="6"/>
        <v>216002.99339814327</v>
      </c>
      <c r="P72" s="941"/>
      <c r="Q72" s="936">
        <f t="shared" si="2"/>
        <v>216002.99339814327</v>
      </c>
    </row>
    <row r="73" spans="1:21">
      <c r="A73" s="933" t="s">
        <v>761</v>
      </c>
      <c r="B73" s="934"/>
      <c r="C73" s="1822" t="s">
        <v>1963</v>
      </c>
      <c r="D73" s="938" t="s">
        <v>1964</v>
      </c>
      <c r="E73" s="939">
        <f>+'7 - Cap Add WS'!AC31</f>
        <v>2000000</v>
      </c>
      <c r="F73" s="901">
        <f t="shared" si="0"/>
        <v>3.1279923231615527E-2</v>
      </c>
      <c r="G73" s="936">
        <f t="shared" si="1"/>
        <v>62559.84646323105</v>
      </c>
      <c r="H73" s="939">
        <f>AVERAGE('7 - Cap Add WS'!AE61,'7 - Cap Add WS'!AE59)</f>
        <v>1514285.714285715</v>
      </c>
      <c r="I73" s="901">
        <f t="shared" si="3"/>
        <v>6.440465240869922E-2</v>
      </c>
      <c r="J73" s="936">
        <f t="shared" si="4"/>
        <v>97527.045076030292</v>
      </c>
      <c r="K73" s="940">
        <f>+'7 - Cap Add WS'!AD61</f>
        <v>57142.857142857145</v>
      </c>
      <c r="L73" s="936">
        <f t="shared" si="7"/>
        <v>217229.74868211849</v>
      </c>
      <c r="M73" s="941">
        <f>+'7 - Cap Add WS'!AC$28</f>
        <v>0</v>
      </c>
      <c r="N73" s="936">
        <f>IF(M73=150,'7 - Cap Add WS'!$AF$59-'7 - Cap Add WS'!$AF$58,0)</f>
        <v>0</v>
      </c>
      <c r="O73" s="936">
        <f t="shared" si="6"/>
        <v>217229.74868211849</v>
      </c>
      <c r="P73" s="941"/>
      <c r="Q73" s="936">
        <f t="shared" si="2"/>
        <v>217229.74868211849</v>
      </c>
    </row>
    <row r="74" spans="1:21">
      <c r="A74" s="933" t="s">
        <v>762</v>
      </c>
      <c r="B74" s="934"/>
      <c r="C74" s="1822" t="s">
        <v>1965</v>
      </c>
      <c r="D74" s="938" t="s">
        <v>1966</v>
      </c>
      <c r="E74" s="939">
        <f>+'7 - Cap Add WS'!AG31</f>
        <v>15875382</v>
      </c>
      <c r="F74" s="901">
        <f t="shared" si="0"/>
        <v>3.1279923231615527E-2</v>
      </c>
      <c r="G74" s="936">
        <f t="shared" si="1"/>
        <v>496580.73023257096</v>
      </c>
      <c r="H74" s="939">
        <f>AVERAGE('7 - Cap Add WS'!AI61,'7 - Cap Add WS'!AI59)</f>
        <v>12246723.257142857</v>
      </c>
      <c r="I74" s="901">
        <f t="shared" si="3"/>
        <v>6.440465240869922E-2</v>
      </c>
      <c r="J74" s="936">
        <f t="shared" si="4"/>
        <v>788745.95452181844</v>
      </c>
      <c r="K74" s="940">
        <f>+'7 - Cap Add WS'!AH61</f>
        <v>453582.34285714285</v>
      </c>
      <c r="L74" s="936">
        <f t="shared" si="7"/>
        <v>1738909.0276115322</v>
      </c>
      <c r="M74" s="941">
        <f>+'7 - Cap Add WS'!AG$28</f>
        <v>150</v>
      </c>
      <c r="N74" s="936">
        <f>IF(M74=150,'7 - Cap Add WS'!$AJ$61-'7 - Cap Add WS'!$AJ$60,0)</f>
        <v>100627.78062550281</v>
      </c>
      <c r="O74" s="936">
        <f t="shared" si="6"/>
        <v>1839536.8082370351</v>
      </c>
      <c r="P74" s="941"/>
      <c r="Q74" s="936">
        <f t="shared" si="2"/>
        <v>1839536.8082370351</v>
      </c>
    </row>
    <row r="75" spans="1:21">
      <c r="A75" s="933" t="s">
        <v>763</v>
      </c>
      <c r="B75" s="934"/>
      <c r="C75" s="1822" t="s">
        <v>1967</v>
      </c>
      <c r="D75" s="938" t="s">
        <v>1968</v>
      </c>
      <c r="E75" s="939">
        <f>+'7 - Cap Add WS'!AK31</f>
        <v>29544357</v>
      </c>
      <c r="F75" s="901">
        <f t="shared" si="0"/>
        <v>3.1279923231615527E-2</v>
      </c>
      <c r="G75" s="936">
        <f t="shared" si="1"/>
        <v>924145.21888744284</v>
      </c>
      <c r="H75" s="939">
        <f>AVERAGE('7 - Cap Add WS'!AM61,'7 - Cap Add WS'!AM59)</f>
        <v>22791361.114285707</v>
      </c>
      <c r="I75" s="901">
        <f t="shared" si="3"/>
        <v>6.440465240869922E-2</v>
      </c>
      <c r="J75" s="936">
        <f t="shared" si="4"/>
        <v>1467869.6904867147</v>
      </c>
      <c r="K75" s="940">
        <f>+'7 - Cap Add WS'!AL61</f>
        <v>844124.48571428575</v>
      </c>
      <c r="L75" s="936">
        <f t="shared" si="7"/>
        <v>3236139.3950884431</v>
      </c>
      <c r="M75" s="941">
        <f>+'7 - Cap Add WS'!AK$28</f>
        <v>150</v>
      </c>
      <c r="N75" s="936">
        <f>IF(M75=150,'7 - Cap Add WS'!$AN$61-'7 - Cap Add WS'!$AN$60,0)</f>
        <v>187270.01812728262</v>
      </c>
      <c r="O75" s="936">
        <f t="shared" si="6"/>
        <v>3423409.4132157257</v>
      </c>
      <c r="P75" s="941"/>
      <c r="Q75" s="936">
        <f t="shared" si="2"/>
        <v>3423409.4132157257</v>
      </c>
    </row>
    <row r="76" spans="1:21">
      <c r="A76" s="933" t="s">
        <v>764</v>
      </c>
      <c r="B76" s="934"/>
      <c r="C76" s="1822" t="s">
        <v>1969</v>
      </c>
      <c r="D76" s="938" t="s">
        <v>1970</v>
      </c>
      <c r="E76" s="939">
        <f>+'7 - Cap Add WS'!AO31</f>
        <v>58581170</v>
      </c>
      <c r="F76" s="901">
        <f t="shared" si="0"/>
        <v>3.1279923231615527E-2</v>
      </c>
      <c r="G76" s="936">
        <f t="shared" si="1"/>
        <v>1832414.5004182186</v>
      </c>
      <c r="H76" s="939">
        <f>AVERAGE('7 - Cap Add WS'!AQ61,'7 - Cap Add WS'!AQ59)</f>
        <v>45191188.285714269</v>
      </c>
      <c r="I76" s="901">
        <f t="shared" si="3"/>
        <v>6.440465240869922E-2</v>
      </c>
      <c r="J76" s="936">
        <f t="shared" si="4"/>
        <v>2910522.7734775073</v>
      </c>
      <c r="K76" s="940">
        <f>+'7 - Cap Add WS'!AP61</f>
        <v>1673747.7142857143</v>
      </c>
      <c r="L76" s="936">
        <f t="shared" si="7"/>
        <v>6416684.9881814402</v>
      </c>
      <c r="M76" s="941">
        <f>+'7 - Cap Add WS'!AO$28</f>
        <v>0</v>
      </c>
      <c r="N76" s="936">
        <f>IF(M76=150,'7 - Cap Add WS'!$AR$59-'7 - Cap Add WS'!$AR$58,0)</f>
        <v>0</v>
      </c>
      <c r="O76" s="936">
        <f t="shared" si="6"/>
        <v>6416684.9881814402</v>
      </c>
      <c r="P76" s="941"/>
      <c r="Q76" s="936">
        <f t="shared" si="2"/>
        <v>6416684.9881814402</v>
      </c>
    </row>
    <row r="77" spans="1:21">
      <c r="A77" s="933" t="s">
        <v>765</v>
      </c>
      <c r="B77" s="934"/>
      <c r="C77" s="1822" t="s">
        <v>1971</v>
      </c>
      <c r="D77" s="938" t="s">
        <v>1972</v>
      </c>
      <c r="E77" s="939">
        <f>+'7 - Cap Add WS'!AS31</f>
        <v>5226954</v>
      </c>
      <c r="F77" s="901">
        <f t="shared" si="0"/>
        <v>3.1279923231615527E-2</v>
      </c>
      <c r="G77" s="936">
        <f t="shared" si="1"/>
        <v>163498.71985518571</v>
      </c>
      <c r="H77" s="939">
        <f>AVERAGE('7 - Cap Add WS'!AU61,'7 - Cap Add WS'!AU59)</f>
        <v>4032221.6571428557</v>
      </c>
      <c r="I77" s="901">
        <f t="shared" si="3"/>
        <v>6.440465240869922E-2</v>
      </c>
      <c r="J77" s="936">
        <f t="shared" si="4"/>
        <v>259693.83426311478</v>
      </c>
      <c r="K77" s="940">
        <f>+'7 - Cap Add WS'!AT61</f>
        <v>149341.54285714286</v>
      </c>
      <c r="L77" s="936">
        <f t="shared" si="7"/>
        <v>572534.09697544342</v>
      </c>
      <c r="M77" s="941">
        <f>+'7 - Cap Add WS'!AS$28</f>
        <v>0</v>
      </c>
      <c r="N77" s="936">
        <f>IF(M77=150,'7 - Cap Add WS'!$AV$59-'7 - Cap Add WS'!$AV$58,0)</f>
        <v>0</v>
      </c>
      <c r="O77" s="936">
        <f t="shared" si="6"/>
        <v>572534.09697544342</v>
      </c>
      <c r="P77" s="941"/>
      <c r="Q77" s="936">
        <f t="shared" si="2"/>
        <v>572534.09697544342</v>
      </c>
    </row>
    <row r="78" spans="1:21">
      <c r="A78" s="933" t="s">
        <v>766</v>
      </c>
      <c r="B78" s="934"/>
      <c r="C78" s="1822" t="s">
        <v>1973</v>
      </c>
      <c r="D78" s="938" t="s">
        <v>1974</v>
      </c>
      <c r="E78" s="939">
        <f>+'7 - Cap Add WS'!AW31</f>
        <v>19021804</v>
      </c>
      <c r="F78" s="901">
        <f t="shared" si="0"/>
        <v>3.1279923231615527E-2</v>
      </c>
      <c r="G78" s="936">
        <f t="shared" si="1"/>
        <v>595000.56884683715</v>
      </c>
      <c r="H78" s="939">
        <f>AVERAGE('7 - Cap Add WS'!AY61,'7 - Cap Add WS'!AY59)</f>
        <v>15221583.914285712</v>
      </c>
      <c r="I78" s="901">
        <f t="shared" si="3"/>
        <v>6.440465240869922E-2</v>
      </c>
      <c r="J78" s="936">
        <f t="shared" si="4"/>
        <v>980340.82110941852</v>
      </c>
      <c r="K78" s="940">
        <f>+'7 - Cap Add WS'!AX61</f>
        <v>543480.11428571434</v>
      </c>
      <c r="L78" s="936">
        <f t="shared" si="7"/>
        <v>2118821.5042419699</v>
      </c>
      <c r="M78" s="941">
        <f>+'7 - Cap Add WS'!AW$28</f>
        <v>150</v>
      </c>
      <c r="N78" s="936">
        <f>IF(M78=150,'7 - Cap Add WS'!$AZ$61-'7 - Cap Add WS'!$AZ$60,0)</f>
        <v>125156.24858064204</v>
      </c>
      <c r="O78" s="936">
        <f t="shared" si="6"/>
        <v>2243977.7528226119</v>
      </c>
      <c r="P78" s="941"/>
      <c r="Q78" s="936">
        <f t="shared" si="2"/>
        <v>2243977.7528226119</v>
      </c>
    </row>
    <row r="79" spans="1:21">
      <c r="A79" s="870" t="s">
        <v>767</v>
      </c>
      <c r="B79" s="934"/>
      <c r="C79" s="1822" t="s">
        <v>1975</v>
      </c>
      <c r="D79" s="938" t="s">
        <v>1976</v>
      </c>
      <c r="E79" s="939">
        <f>+'7 - Cap Add WS'!BA31</f>
        <v>51852352.189999998</v>
      </c>
      <c r="F79" s="901">
        <f t="shared" si="0"/>
        <v>3.1279923231615527E-2</v>
      </c>
      <c r="G79" s="936">
        <f t="shared" si="1"/>
        <v>1621937.5958818912</v>
      </c>
      <c r="H79" s="939">
        <f>AVERAGE('7 - Cap Add WS'!BC61,'7 - Cap Add WS'!BC59)</f>
        <v>43422927.083952367</v>
      </c>
      <c r="I79" s="901">
        <f t="shared" si="3"/>
        <v>6.440465240869922E-2</v>
      </c>
      <c r="J79" s="936">
        <f t="shared" si="4"/>
        <v>2796638.5254102433</v>
      </c>
      <c r="K79" s="940">
        <f>+'7 - Cap Add WS'!BB61</f>
        <v>1481495.7768571428</v>
      </c>
      <c r="L79" s="936">
        <f t="shared" si="7"/>
        <v>5900071.898149278</v>
      </c>
      <c r="M79" s="941">
        <f>+'7 - Cap Add WS'!BA$28</f>
        <v>0</v>
      </c>
      <c r="N79" s="936">
        <f>IF(M79=150,'7 - Cap Add WS'!$BD$59-'7 - Cap Add WS'!$BD$58,0)</f>
        <v>0</v>
      </c>
      <c r="O79" s="936">
        <f t="shared" si="6"/>
        <v>5900071.898149278</v>
      </c>
      <c r="P79" s="941"/>
      <c r="Q79" s="936">
        <f t="shared" si="2"/>
        <v>5900071.898149278</v>
      </c>
    </row>
    <row r="80" spans="1:21">
      <c r="A80" s="933" t="s">
        <v>768</v>
      </c>
      <c r="B80" s="934"/>
      <c r="C80" s="1822" t="s">
        <v>1977</v>
      </c>
      <c r="D80" s="938" t="s">
        <v>1978</v>
      </c>
      <c r="E80" s="939">
        <f>+'7 - Cap Add WS'!BE31</f>
        <v>8623505</v>
      </c>
      <c r="F80" s="901">
        <f t="shared" si="0"/>
        <v>3.1279923231615527E-2</v>
      </c>
      <c r="G80" s="936">
        <f t="shared" si="1"/>
        <v>269742.57438745262</v>
      </c>
      <c r="H80" s="939">
        <f>AVERAGE('7 - Cap Add WS'!BG61,'7 - Cap Add WS'!BG59)</f>
        <v>7320179.8790476173</v>
      </c>
      <c r="I80" s="901">
        <f t="shared" si="3"/>
        <v>6.440465240869922E-2</v>
      </c>
      <c r="J80" s="936">
        <f t="shared" si="4"/>
        <v>471453.64067921566</v>
      </c>
      <c r="K80" s="940">
        <f>+'7 - Cap Add WS'!BF61</f>
        <v>246385.85714285713</v>
      </c>
      <c r="L80" s="936">
        <f t="shared" si="7"/>
        <v>987582.0722095255</v>
      </c>
      <c r="M80" s="941">
        <f>+'7 - Cap Add WS'!BE$28</f>
        <v>0</v>
      </c>
      <c r="N80" s="936">
        <f>IF(M80=150,'7 - Cap Add WS'!$BH$59-'7 - Cap Add WS'!$BH$58,0)</f>
        <v>0</v>
      </c>
      <c r="O80" s="936">
        <f t="shared" si="6"/>
        <v>987582.0722095255</v>
      </c>
      <c r="P80" s="941"/>
      <c r="Q80" s="936">
        <f t="shared" si="2"/>
        <v>987582.0722095255</v>
      </c>
    </row>
    <row r="81" spans="1:17">
      <c r="A81" s="933" t="s">
        <v>769</v>
      </c>
      <c r="B81" s="934"/>
      <c r="C81" s="1822" t="s">
        <v>1979</v>
      </c>
      <c r="D81" s="938" t="s">
        <v>1980</v>
      </c>
      <c r="E81" s="939">
        <f>+'7 - Cap Add WS'!BI31</f>
        <v>9000000</v>
      </c>
      <c r="F81" s="901">
        <f t="shared" si="0"/>
        <v>3.1279923231615527E-2</v>
      </c>
      <c r="G81" s="936">
        <f t="shared" si="1"/>
        <v>281519.30908453977</v>
      </c>
      <c r="H81" s="939">
        <f>AVERAGE('7 - Cap Add WS'!BK61,'7 - Cap Add WS'!BK59)</f>
        <v>6685714.2857142854</v>
      </c>
      <c r="I81" s="901">
        <f t="shared" si="3"/>
        <v>6.440465240869922E-2</v>
      </c>
      <c r="J81" s="936">
        <f t="shared" si="4"/>
        <v>430591.10467530333</v>
      </c>
      <c r="K81" s="940">
        <f>+'7 - Cap Add WS'!BJ61</f>
        <v>257142.85714285713</v>
      </c>
      <c r="L81" s="936">
        <f t="shared" si="7"/>
        <v>969253.27090270026</v>
      </c>
      <c r="M81" s="941">
        <f>+'7 - Cap Add WS'!BI$28</f>
        <v>0</v>
      </c>
      <c r="N81" s="936">
        <f>IF(M81=150,'7 - Cap Add WS'!$BL$59-'7 - Cap Add WS'!$BL$58,0)</f>
        <v>0</v>
      </c>
      <c r="O81" s="936">
        <f t="shared" si="6"/>
        <v>969253.27090270026</v>
      </c>
      <c r="P81" s="941"/>
      <c r="Q81" s="936">
        <f t="shared" si="2"/>
        <v>969253.27090270026</v>
      </c>
    </row>
    <row r="82" spans="1:17">
      <c r="A82" s="933" t="s">
        <v>770</v>
      </c>
      <c r="B82" s="934"/>
      <c r="C82" s="1822" t="s">
        <v>1981</v>
      </c>
      <c r="D82" s="938" t="s">
        <v>1982</v>
      </c>
      <c r="E82" s="939">
        <f>+'7 - Cap Add WS'!BM31</f>
        <v>39000000</v>
      </c>
      <c r="F82" s="901">
        <f t="shared" si="0"/>
        <v>3.1279923231615527E-2</v>
      </c>
      <c r="G82" s="936">
        <f t="shared" si="1"/>
        <v>1219917.0060330054</v>
      </c>
      <c r="H82" s="939">
        <f>AVERAGE('7 - Cap Add WS'!BO61,'7 - Cap Add WS'!BO59)</f>
        <v>32314285.714285709</v>
      </c>
      <c r="I82" s="901">
        <f t="shared" si="3"/>
        <v>6.440465240869922E-2</v>
      </c>
      <c r="J82" s="936">
        <f t="shared" si="4"/>
        <v>2081190.3392639658</v>
      </c>
      <c r="K82" s="940">
        <f>+'7 - Cap Add WS'!BN61</f>
        <v>1114285.7142857143</v>
      </c>
      <c r="L82" s="936">
        <f t="shared" si="7"/>
        <v>4415393.0595826861</v>
      </c>
      <c r="M82" s="941">
        <f>+'7 - Cap Add WS'!BM$28</f>
        <v>0</v>
      </c>
      <c r="N82" s="936">
        <f>IF(M82=150,'7 - Cap Add WS'!$BP$59-'7 - Cap Add WS'!$BP$58,0)</f>
        <v>0</v>
      </c>
      <c r="O82" s="936">
        <f t="shared" si="6"/>
        <v>4415393.0595826861</v>
      </c>
      <c r="P82" s="941"/>
      <c r="Q82" s="936">
        <f t="shared" si="2"/>
        <v>4415393.0595826861</v>
      </c>
    </row>
    <row r="83" spans="1:17">
      <c r="A83" s="933" t="s">
        <v>771</v>
      </c>
      <c r="B83" s="934"/>
      <c r="C83" s="1822" t="s">
        <v>1983</v>
      </c>
      <c r="D83" s="938" t="s">
        <v>1984</v>
      </c>
      <c r="E83" s="939">
        <f>+'7 - Cap Add WS'!BQ31</f>
        <v>9200000</v>
      </c>
      <c r="F83" s="901">
        <f t="shared" si="0"/>
        <v>3.1279923231615527E-2</v>
      </c>
      <c r="G83" s="936">
        <f t="shared" si="1"/>
        <v>287775.29373086285</v>
      </c>
      <c r="H83" s="939">
        <f>AVERAGE('7 - Cap Add WS'!BS61,'7 - Cap Add WS'!BS59)</f>
        <v>7885714.2857142854</v>
      </c>
      <c r="I83" s="901">
        <f t="shared" si="3"/>
        <v>6.440465240869922E-2</v>
      </c>
      <c r="J83" s="936">
        <f t="shared" si="4"/>
        <v>507876.68756574241</v>
      </c>
      <c r="K83" s="940">
        <f>+'7 - Cap Add WS'!BR61</f>
        <v>262857.14285714284</v>
      </c>
      <c r="L83" s="936">
        <f t="shared" si="7"/>
        <v>1058509.1241537482</v>
      </c>
      <c r="M83" s="941">
        <f>+'7 - Cap Add WS'!BQ$28</f>
        <v>0</v>
      </c>
      <c r="N83" s="936">
        <f>IF(M83=150,'7 - Cap Add WS'!$BT$59-'7 - Cap Add WS'!$BT$58,0)</f>
        <v>0</v>
      </c>
      <c r="O83" s="936">
        <f t="shared" si="6"/>
        <v>1058509.1241537482</v>
      </c>
      <c r="P83" s="941"/>
      <c r="Q83" s="936">
        <f t="shared" si="2"/>
        <v>1058509.1241537482</v>
      </c>
    </row>
    <row r="84" spans="1:17">
      <c r="A84" s="933" t="s">
        <v>772</v>
      </c>
      <c r="B84" s="934"/>
      <c r="C84" s="937"/>
      <c r="D84" s="938"/>
      <c r="E84" s="939"/>
      <c r="F84" s="901"/>
      <c r="G84" s="935"/>
      <c r="H84" s="939"/>
      <c r="I84" s="901"/>
      <c r="J84" s="936"/>
      <c r="K84" s="940"/>
      <c r="L84" s="936"/>
      <c r="M84" s="941"/>
      <c r="N84" s="936"/>
      <c r="O84" s="936"/>
      <c r="P84" s="940"/>
      <c r="Q84" s="936"/>
    </row>
    <row r="85" spans="1:17">
      <c r="A85" s="870" t="s">
        <v>773</v>
      </c>
      <c r="B85" s="934"/>
      <c r="C85" s="946"/>
      <c r="D85" s="938"/>
      <c r="E85" s="939"/>
      <c r="F85" s="901"/>
      <c r="G85" s="935"/>
      <c r="H85" s="939"/>
      <c r="I85" s="901"/>
      <c r="J85" s="936"/>
      <c r="K85" s="940"/>
      <c r="L85" s="936"/>
      <c r="M85" s="941"/>
      <c r="N85" s="936"/>
      <c r="O85" s="936"/>
      <c r="P85" s="940"/>
      <c r="Q85" s="936"/>
    </row>
    <row r="86" spans="1:17">
      <c r="A86" s="933" t="s">
        <v>774</v>
      </c>
      <c r="B86" s="934"/>
      <c r="C86" s="937"/>
      <c r="D86" s="938"/>
      <c r="E86" s="939"/>
      <c r="F86" s="901"/>
      <c r="G86" s="935"/>
      <c r="H86" s="939"/>
      <c r="I86" s="901"/>
      <c r="J86" s="936"/>
      <c r="K86" s="940"/>
      <c r="L86" s="936"/>
      <c r="M86" s="941"/>
      <c r="N86" s="936"/>
      <c r="O86" s="936"/>
      <c r="P86" s="940"/>
      <c r="Q86" s="936"/>
    </row>
    <row r="87" spans="1:17">
      <c r="A87" s="933" t="s">
        <v>775</v>
      </c>
      <c r="B87" s="934"/>
      <c r="C87" s="937"/>
      <c r="D87" s="938"/>
      <c r="E87" s="939"/>
      <c r="F87" s="901"/>
      <c r="G87" s="935"/>
      <c r="H87" s="939"/>
      <c r="I87" s="901"/>
      <c r="J87" s="936"/>
      <c r="K87" s="940"/>
      <c r="L87" s="936"/>
      <c r="M87" s="941"/>
      <c r="N87" s="936"/>
      <c r="O87" s="936"/>
      <c r="P87" s="940"/>
      <c r="Q87" s="936"/>
    </row>
    <row r="88" spans="1:17">
      <c r="A88" s="933" t="s">
        <v>776</v>
      </c>
      <c r="C88" s="937"/>
      <c r="D88" s="938"/>
      <c r="E88" s="939"/>
      <c r="F88" s="901"/>
      <c r="G88" s="935"/>
      <c r="H88" s="939"/>
      <c r="I88" s="901"/>
      <c r="J88" s="936"/>
      <c r="K88" s="940"/>
      <c r="L88" s="936"/>
      <c r="M88" s="941"/>
      <c r="N88" s="936"/>
      <c r="O88" s="936"/>
      <c r="P88" s="940"/>
      <c r="Q88" s="936"/>
    </row>
    <row r="89" spans="1:17">
      <c r="A89" s="933" t="s">
        <v>777</v>
      </c>
      <c r="C89" s="946"/>
      <c r="D89" s="942"/>
      <c r="E89" s="939"/>
      <c r="F89" s="901"/>
      <c r="G89" s="935"/>
      <c r="H89" s="943"/>
      <c r="I89" s="901"/>
      <c r="J89" s="936"/>
      <c r="K89" s="944"/>
      <c r="L89" s="936"/>
      <c r="M89" s="941"/>
      <c r="N89" s="936"/>
      <c r="O89" s="936"/>
      <c r="P89" s="940"/>
      <c r="Q89" s="936"/>
    </row>
    <row r="90" spans="1:17">
      <c r="A90" s="933" t="s">
        <v>778</v>
      </c>
      <c r="C90" s="946"/>
      <c r="D90" s="946"/>
      <c r="E90" s="939"/>
      <c r="F90" s="901"/>
      <c r="G90" s="935"/>
      <c r="H90" s="939"/>
      <c r="I90" s="901"/>
      <c r="J90" s="936"/>
      <c r="K90" s="940"/>
      <c r="L90" s="936"/>
      <c r="M90" s="941"/>
      <c r="N90" s="936"/>
      <c r="O90" s="936"/>
      <c r="P90" s="940"/>
      <c r="Q90" s="936"/>
    </row>
    <row r="91" spans="1:17">
      <c r="A91" s="945"/>
      <c r="C91" s="946"/>
      <c r="D91" s="946"/>
      <c r="E91" s="939"/>
      <c r="F91" s="901"/>
      <c r="G91" s="935"/>
      <c r="H91" s="939"/>
      <c r="I91" s="901"/>
      <c r="J91" s="936"/>
      <c r="K91" s="940"/>
      <c r="L91" s="936"/>
      <c r="M91" s="941"/>
      <c r="N91" s="936"/>
      <c r="O91" s="936"/>
      <c r="P91" s="940"/>
      <c r="Q91" s="936"/>
    </row>
    <row r="92" spans="1:17">
      <c r="A92" s="947"/>
      <c r="B92" s="948"/>
      <c r="C92" s="949"/>
      <c r="D92" s="949"/>
      <c r="E92" s="949"/>
      <c r="F92" s="948"/>
      <c r="G92" s="950"/>
      <c r="H92" s="949"/>
      <c r="I92" s="948"/>
      <c r="J92" s="951"/>
      <c r="K92" s="952"/>
      <c r="L92" s="951"/>
      <c r="M92" s="953"/>
      <c r="N92" s="954"/>
      <c r="O92" s="954"/>
      <c r="P92" s="952"/>
      <c r="Q92" s="951"/>
    </row>
    <row r="93" spans="1:17">
      <c r="A93" s="902" t="s">
        <v>779</v>
      </c>
      <c r="B93" s="907"/>
      <c r="C93" s="886" t="s">
        <v>780</v>
      </c>
      <c r="D93" s="886"/>
      <c r="E93" s="872">
        <f>SUM(E66:E92)</f>
        <v>1759323170.5161541</v>
      </c>
      <c r="F93" s="872"/>
      <c r="G93" s="872">
        <f>SUM(G66:G92)</f>
        <v>55031493.71334774</v>
      </c>
      <c r="H93" s="872">
        <f>SUM(H66:H92)</f>
        <v>1216778387.208462</v>
      </c>
      <c r="I93" s="879"/>
      <c r="J93" s="872">
        <f t="shared" ref="J93:O93" si="8">SUM(J66:J92)</f>
        <v>78366189.086578593</v>
      </c>
      <c r="K93" s="872">
        <f t="shared" si="8"/>
        <v>40156668.000000007</v>
      </c>
      <c r="L93" s="872">
        <f t="shared" si="8"/>
        <v>173554350.79992628</v>
      </c>
      <c r="M93" s="872"/>
      <c r="N93" s="872">
        <f t="shared" si="8"/>
        <v>950118.14217935293</v>
      </c>
      <c r="O93" s="872">
        <f t="shared" si="8"/>
        <v>174504468.94210565</v>
      </c>
      <c r="P93" s="872">
        <f>SUM(P66:P92)</f>
        <v>0</v>
      </c>
      <c r="Q93" s="872">
        <f>SUM(Q66:Q92)</f>
        <v>174504468.94210565</v>
      </c>
    </row>
    <row r="94" spans="1:17">
      <c r="E94" s="872"/>
      <c r="F94" s="872"/>
      <c r="G94" s="872"/>
      <c r="H94" s="872"/>
      <c r="I94" s="872"/>
      <c r="J94" s="872"/>
      <c r="K94" s="872"/>
      <c r="L94" s="901"/>
    </row>
    <row r="95" spans="1:17">
      <c r="A95" s="955"/>
      <c r="E95" s="872"/>
      <c r="F95" s="872"/>
      <c r="G95" s="872"/>
      <c r="H95" s="872"/>
      <c r="I95" s="872"/>
      <c r="J95" s="872"/>
      <c r="K95" s="872"/>
      <c r="L95" s="901"/>
      <c r="M95" s="911"/>
      <c r="N95" s="911"/>
      <c r="O95" s="911"/>
    </row>
    <row r="96" spans="1:17">
      <c r="K96" s="907"/>
      <c r="L96" s="907"/>
      <c r="M96" s="907"/>
      <c r="N96" s="907"/>
      <c r="O96" s="907"/>
    </row>
    <row r="97" spans="1:17">
      <c r="K97" s="907"/>
      <c r="L97" s="907"/>
      <c r="M97" s="907"/>
      <c r="N97" s="907"/>
      <c r="O97" s="907"/>
    </row>
    <row r="98" spans="1:17">
      <c r="A98" s="870" t="s">
        <v>781</v>
      </c>
    </row>
    <row r="99" spans="1:17" ht="13.5" thickBot="1">
      <c r="A99" s="956" t="s">
        <v>782</v>
      </c>
    </row>
    <row r="100" spans="1:17">
      <c r="A100" s="957" t="s">
        <v>9</v>
      </c>
      <c r="C100" s="2003" t="s">
        <v>783</v>
      </c>
      <c r="D100" s="2003"/>
      <c r="E100" s="2003"/>
      <c r="F100" s="2003"/>
      <c r="G100" s="2003"/>
      <c r="H100" s="2003"/>
      <c r="I100" s="2003"/>
      <c r="J100" s="2003"/>
      <c r="K100" s="2003"/>
      <c r="L100" s="2003"/>
      <c r="M100" s="2003"/>
      <c r="N100" s="2003"/>
      <c r="O100" s="2003"/>
      <c r="P100" s="2003"/>
      <c r="Q100" s="2003"/>
    </row>
    <row r="101" spans="1:17">
      <c r="A101" s="957" t="s">
        <v>10</v>
      </c>
      <c r="C101" s="2003" t="s">
        <v>784</v>
      </c>
      <c r="D101" s="2003"/>
      <c r="E101" s="2003"/>
      <c r="F101" s="2003"/>
      <c r="G101" s="2003"/>
      <c r="H101" s="2003"/>
      <c r="I101" s="2003"/>
      <c r="J101" s="2003"/>
      <c r="K101" s="2003"/>
      <c r="L101" s="2003"/>
      <c r="M101" s="2003"/>
      <c r="N101" s="2003"/>
      <c r="O101" s="2003"/>
      <c r="P101" s="2003"/>
      <c r="Q101" s="2003"/>
    </row>
    <row r="102" spans="1:17">
      <c r="A102" s="957" t="s">
        <v>11</v>
      </c>
      <c r="C102" s="2004" t="s">
        <v>785</v>
      </c>
      <c r="D102" s="2004"/>
      <c r="E102" s="2004"/>
      <c r="F102" s="2004"/>
      <c r="G102" s="2004"/>
      <c r="H102" s="2004"/>
      <c r="I102" s="2004"/>
      <c r="J102" s="2004"/>
      <c r="K102" s="2004"/>
      <c r="L102" s="2004"/>
      <c r="M102" s="2004"/>
      <c r="N102" s="2004"/>
      <c r="O102" s="2004"/>
      <c r="P102" s="2004"/>
      <c r="Q102" s="2004"/>
    </row>
    <row r="103" spans="1:17">
      <c r="C103" s="870" t="s">
        <v>786</v>
      </c>
    </row>
    <row r="104" spans="1:17">
      <c r="A104" s="957" t="s">
        <v>14</v>
      </c>
      <c r="C104" s="2004" t="s">
        <v>787</v>
      </c>
      <c r="D104" s="2004"/>
      <c r="E104" s="2004"/>
      <c r="F104" s="2004"/>
      <c r="G104" s="2004"/>
      <c r="H104" s="2004"/>
      <c r="I104" s="2004"/>
      <c r="J104" s="2004"/>
      <c r="K104" s="2004"/>
      <c r="L104" s="2004"/>
      <c r="M104" s="2004"/>
      <c r="N104" s="2004"/>
      <c r="O104" s="2004"/>
      <c r="P104" s="2004"/>
      <c r="Q104" s="2004"/>
    </row>
    <row r="105" spans="1:17">
      <c r="A105" s="900" t="s">
        <v>166</v>
      </c>
      <c r="C105" s="2001" t="s">
        <v>788</v>
      </c>
      <c r="D105" s="2001"/>
      <c r="E105" s="2001"/>
      <c r="F105" s="2001"/>
      <c r="G105" s="2001"/>
      <c r="H105" s="2001"/>
      <c r="I105" s="2001"/>
      <c r="J105" s="2001"/>
      <c r="K105" s="2001"/>
      <c r="L105" s="2001"/>
      <c r="M105" s="2001"/>
      <c r="N105" s="2001"/>
      <c r="O105" s="2001"/>
      <c r="P105" s="2001"/>
      <c r="Q105" s="2001"/>
    </row>
    <row r="106" spans="1:17">
      <c r="A106" s="900" t="s">
        <v>169</v>
      </c>
      <c r="C106" s="2001" t="s">
        <v>789</v>
      </c>
      <c r="D106" s="2001"/>
      <c r="E106" s="2001"/>
      <c r="F106" s="2001"/>
      <c r="G106" s="2001"/>
      <c r="H106" s="2001"/>
      <c r="I106" s="2001"/>
      <c r="J106" s="2001"/>
      <c r="K106" s="2001"/>
      <c r="L106" s="2001"/>
      <c r="M106" s="2001"/>
      <c r="N106" s="2001"/>
      <c r="O106" s="2001"/>
      <c r="P106" s="2001"/>
      <c r="Q106" s="2001"/>
    </row>
    <row r="107" spans="1:17">
      <c r="A107" s="900" t="s">
        <v>171</v>
      </c>
      <c r="C107" s="2001" t="s">
        <v>790</v>
      </c>
      <c r="D107" s="2001"/>
      <c r="E107" s="2001"/>
      <c r="F107" s="2001"/>
      <c r="G107" s="2001"/>
      <c r="H107" s="2001"/>
      <c r="I107" s="2001"/>
      <c r="J107" s="2001"/>
      <c r="K107" s="2001"/>
      <c r="L107" s="2001"/>
      <c r="M107" s="2001"/>
      <c r="N107" s="2001"/>
      <c r="O107" s="2001"/>
      <c r="P107" s="2001"/>
      <c r="Q107" s="2001"/>
    </row>
    <row r="108" spans="1:17">
      <c r="A108" s="900" t="s">
        <v>660</v>
      </c>
      <c r="C108" s="2001" t="s">
        <v>791</v>
      </c>
      <c r="D108" s="2001"/>
      <c r="E108" s="2001"/>
      <c r="F108" s="2001"/>
      <c r="G108" s="2001"/>
      <c r="H108" s="2001"/>
      <c r="I108" s="2001"/>
      <c r="J108" s="2001"/>
      <c r="K108" s="2001"/>
      <c r="L108" s="2001"/>
      <c r="M108" s="2001"/>
      <c r="N108" s="2001"/>
      <c r="O108" s="2001"/>
      <c r="P108" s="2001"/>
      <c r="Q108" s="2001"/>
    </row>
    <row r="109" spans="1:17">
      <c r="A109" s="900" t="s">
        <v>579</v>
      </c>
      <c r="C109" s="870" t="s">
        <v>792</v>
      </c>
    </row>
    <row r="110" spans="1:17">
      <c r="A110" s="885" t="s">
        <v>580</v>
      </c>
      <c r="C110" s="870" t="s">
        <v>793</v>
      </c>
      <c r="P110" s="879"/>
      <c r="Q110" s="914"/>
    </row>
    <row r="111" spans="1:17">
      <c r="A111" s="885" t="s">
        <v>581</v>
      </c>
      <c r="C111" s="870" t="s">
        <v>794</v>
      </c>
      <c r="D111" s="885"/>
      <c r="E111" s="900"/>
      <c r="F111" s="900"/>
      <c r="G111" s="879"/>
      <c r="J111" s="898"/>
      <c r="P111" s="879"/>
      <c r="Q111" s="895"/>
    </row>
    <row r="112" spans="1:17">
      <c r="A112" s="900" t="s">
        <v>585</v>
      </c>
      <c r="C112" s="958" t="s">
        <v>890</v>
      </c>
      <c r="G112" s="959"/>
    </row>
    <row r="113" spans="1:11">
      <c r="A113" s="900" t="s">
        <v>587</v>
      </c>
      <c r="C113" s="870" t="s">
        <v>795</v>
      </c>
      <c r="K113" s="959"/>
    </row>
    <row r="114" spans="1:11">
      <c r="A114" s="900" t="s">
        <v>589</v>
      </c>
      <c r="C114" s="870" t="s">
        <v>796</v>
      </c>
    </row>
    <row r="115" spans="1:11">
      <c r="C115" s="870" t="s">
        <v>797</v>
      </c>
    </row>
    <row r="116" spans="1:11" ht="12.75" customHeight="1">
      <c r="A116" s="900" t="s">
        <v>590</v>
      </c>
      <c r="C116" s="2002" t="s">
        <v>1988</v>
      </c>
      <c r="D116" s="2002"/>
      <c r="E116" s="2002"/>
      <c r="F116" s="2002"/>
      <c r="G116" s="2002"/>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topLeftCell="A60" zoomScale="65" zoomScaleNormal="65" zoomScaleSheetLayoutView="100" workbookViewId="0">
      <selection activeCell="E60" sqref="E60"/>
    </sheetView>
  </sheetViews>
  <sheetFormatPr defaultColWidth="11.42578125" defaultRowHeight="12.75"/>
  <cols>
    <col min="1" max="1" width="7.7109375" style="870" customWidth="1"/>
    <col min="2" max="2" width="50.5703125" style="870" customWidth="1"/>
    <col min="3" max="3" width="21.85546875" style="870" customWidth="1"/>
    <col min="4" max="4" width="24" style="870" customWidth="1"/>
    <col min="5" max="5" width="28.5703125" style="870" customWidth="1"/>
    <col min="6" max="6" width="24" style="870" customWidth="1"/>
    <col min="7" max="7" width="23.5703125" style="870" customWidth="1"/>
    <col min="8" max="8" width="18.5703125" style="870" customWidth="1"/>
    <col min="9" max="9" width="23.85546875" style="870" customWidth="1"/>
    <col min="10" max="10" width="17.7109375" style="870" customWidth="1"/>
    <col min="11" max="11" width="18.5703125" style="870" customWidth="1"/>
    <col min="12" max="12" width="17.42578125" style="870" customWidth="1"/>
    <col min="13" max="16384" width="11.42578125" style="870"/>
  </cols>
  <sheetData>
    <row r="1" spans="1:13">
      <c r="J1" s="873"/>
    </row>
    <row r="5" spans="1:13">
      <c r="A5" s="960"/>
      <c r="D5" s="873"/>
      <c r="E5" s="803" t="s">
        <v>859</v>
      </c>
      <c r="F5" s="873"/>
      <c r="G5" s="873"/>
      <c r="I5" s="873"/>
      <c r="J5" s="873"/>
      <c r="K5" s="873"/>
      <c r="L5" s="874"/>
    </row>
    <row r="6" spans="1:13">
      <c r="A6" s="960"/>
      <c r="D6" s="873"/>
      <c r="E6" s="1486" t="s">
        <v>1528</v>
      </c>
      <c r="F6" s="879"/>
      <c r="G6" s="879"/>
      <c r="I6" s="879"/>
      <c r="J6" s="879"/>
      <c r="K6" s="879"/>
      <c r="L6" s="874"/>
    </row>
    <row r="7" spans="1:13">
      <c r="A7" s="960"/>
      <c r="C7" s="877"/>
      <c r="D7" s="877"/>
      <c r="E7" s="808" t="s">
        <v>344</v>
      </c>
      <c r="F7" s="877"/>
      <c r="G7" s="877"/>
      <c r="I7" s="877"/>
      <c r="J7" s="877"/>
      <c r="K7" s="877"/>
      <c r="L7" s="877"/>
    </row>
    <row r="8" spans="1:13" s="962" customFormat="1">
      <c r="A8" s="961"/>
      <c r="B8" s="870"/>
      <c r="C8" s="870"/>
      <c r="D8" s="870"/>
      <c r="E8" s="890"/>
      <c r="F8" s="890"/>
      <c r="G8" s="890"/>
      <c r="H8" s="870"/>
      <c r="I8" s="877"/>
      <c r="J8" s="877"/>
      <c r="K8" s="877"/>
      <c r="L8" s="877"/>
    </row>
    <row r="9" spans="1:13" s="962" customFormat="1">
      <c r="A9" s="963"/>
      <c r="B9" s="964"/>
      <c r="C9" s="964"/>
      <c r="D9" s="964"/>
      <c r="E9" s="964"/>
      <c r="F9" s="964"/>
      <c r="G9" s="964"/>
      <c r="H9" s="964"/>
      <c r="I9" s="964"/>
      <c r="J9" s="964"/>
      <c r="K9" s="965"/>
      <c r="L9" s="964"/>
    </row>
    <row r="10" spans="1:13" s="962" customFormat="1">
      <c r="A10" s="963"/>
      <c r="B10" s="964"/>
      <c r="C10" s="964"/>
      <c r="D10" s="2006" t="s">
        <v>798</v>
      </c>
      <c r="E10" s="2007"/>
      <c r="F10" s="966"/>
      <c r="G10" s="967" t="s">
        <v>799</v>
      </c>
      <c r="H10" s="966"/>
      <c r="I10" s="968"/>
      <c r="J10" s="968"/>
      <c r="K10" s="969"/>
    </row>
    <row r="11" spans="1:13" s="962" customFormat="1" ht="15.75">
      <c r="A11" s="963">
        <v>1</v>
      </c>
      <c r="B11" s="964" t="s">
        <v>800</v>
      </c>
      <c r="C11" s="964"/>
      <c r="D11" s="2008" t="s">
        <v>801</v>
      </c>
      <c r="E11" s="2009"/>
      <c r="F11" s="970" t="s">
        <v>802</v>
      </c>
      <c r="G11" s="971" t="s">
        <v>803</v>
      </c>
      <c r="H11" s="970" t="s">
        <v>804</v>
      </c>
      <c r="I11" s="972"/>
      <c r="J11" s="972"/>
      <c r="K11" s="973"/>
    </row>
    <row r="12" spans="1:13" s="962" customFormat="1">
      <c r="A12" s="963">
        <v>2</v>
      </c>
      <c r="B12" s="964"/>
      <c r="C12" s="964"/>
      <c r="D12" s="974"/>
      <c r="E12" s="974"/>
      <c r="F12" s="836">
        <f>+G77</f>
        <v>0</v>
      </c>
      <c r="G12" s="975"/>
      <c r="H12" s="974"/>
      <c r="I12" s="974"/>
      <c r="J12" s="974"/>
      <c r="K12" s="966"/>
    </row>
    <row r="13" spans="1:13" s="962" customFormat="1">
      <c r="B13" s="976" t="s">
        <v>9</v>
      </c>
      <c r="C13" s="976" t="s">
        <v>10</v>
      </c>
      <c r="D13" s="971" t="s">
        <v>11</v>
      </c>
      <c r="E13" s="971" t="s">
        <v>14</v>
      </c>
      <c r="F13" s="967" t="s">
        <v>166</v>
      </c>
      <c r="G13" s="976" t="s">
        <v>169</v>
      </c>
      <c r="H13" s="977" t="s">
        <v>171</v>
      </c>
      <c r="I13" s="977" t="s">
        <v>660</v>
      </c>
      <c r="J13" s="977" t="s">
        <v>579</v>
      </c>
      <c r="K13" s="978" t="s">
        <v>580</v>
      </c>
      <c r="M13" s="979"/>
    </row>
    <row r="14" spans="1:13" s="962" customFormat="1">
      <c r="A14" s="963"/>
      <c r="B14" s="974"/>
      <c r="C14" s="967"/>
      <c r="D14" s="967"/>
      <c r="E14" s="1083" t="s">
        <v>805</v>
      </c>
      <c r="F14" s="967"/>
      <c r="G14" s="967"/>
      <c r="H14" s="974"/>
      <c r="I14" s="967"/>
      <c r="J14" s="974"/>
      <c r="K14" s="974"/>
    </row>
    <row r="15" spans="1:13" s="962" customFormat="1">
      <c r="A15" s="963"/>
      <c r="B15" s="974"/>
      <c r="C15" s="967"/>
      <c r="D15" s="977" t="s">
        <v>806</v>
      </c>
      <c r="E15" s="978" t="s">
        <v>59</v>
      </c>
      <c r="F15" s="977" t="s">
        <v>807</v>
      </c>
      <c r="G15" s="977" t="s">
        <v>808</v>
      </c>
      <c r="H15" s="977" t="s">
        <v>809</v>
      </c>
      <c r="I15" s="977"/>
      <c r="J15" s="977" t="s">
        <v>219</v>
      </c>
      <c r="K15" s="977"/>
    </row>
    <row r="16" spans="1:13" s="962" customFormat="1" ht="25.5" customHeight="1">
      <c r="A16" s="963"/>
      <c r="B16" s="2010" t="s">
        <v>1526</v>
      </c>
      <c r="C16" s="2012" t="s">
        <v>1527</v>
      </c>
      <c r="D16" s="977" t="s">
        <v>810</v>
      </c>
      <c r="E16" s="978" t="s">
        <v>58</v>
      </c>
      <c r="F16" s="977" t="s">
        <v>811</v>
      </c>
      <c r="G16" s="977" t="s">
        <v>810</v>
      </c>
      <c r="H16" s="977" t="s">
        <v>812</v>
      </c>
      <c r="I16" s="967" t="s">
        <v>813</v>
      </c>
      <c r="J16" s="977" t="s">
        <v>814</v>
      </c>
      <c r="K16" s="977" t="s">
        <v>815</v>
      </c>
    </row>
    <row r="17" spans="1:11" s="962" customFormat="1" ht="15.75">
      <c r="A17" s="963"/>
      <c r="B17" s="2011"/>
      <c r="C17" s="2013"/>
      <c r="D17" s="971" t="s">
        <v>816</v>
      </c>
      <c r="E17" s="978" t="s">
        <v>803</v>
      </c>
      <c r="F17" s="980" t="s">
        <v>817</v>
      </c>
      <c r="G17" s="977" t="s">
        <v>818</v>
      </c>
      <c r="H17" s="971" t="s">
        <v>819</v>
      </c>
      <c r="I17" s="977" t="s">
        <v>820</v>
      </c>
      <c r="J17" s="971" t="s">
        <v>821</v>
      </c>
      <c r="K17" s="971" t="s">
        <v>822</v>
      </c>
    </row>
    <row r="18" spans="1:11" s="962" customFormat="1">
      <c r="A18" s="963">
        <v>3</v>
      </c>
      <c r="B18" s="1849"/>
      <c r="C18" s="1851"/>
      <c r="D18" s="1850"/>
      <c r="E18" s="1487">
        <f t="shared" ref="E18:E32" si="0">IF(D$46=0,0,D18/D$46)</f>
        <v>0</v>
      </c>
      <c r="F18" s="836">
        <f>IF(F$12=0,0,E18*F$12)</f>
        <v>0</v>
      </c>
      <c r="G18" s="1488">
        <f t="shared" ref="G18:G32" si="1">+$E$81*E18</f>
        <v>0</v>
      </c>
      <c r="H18" s="981">
        <f>+G18-F18</f>
        <v>0</v>
      </c>
      <c r="I18" s="1488">
        <v>0</v>
      </c>
      <c r="J18" s="1488" t="e">
        <f>+'6B - True-Up Interest '!G41</f>
        <v>#DIV/0!</v>
      </c>
      <c r="K18" s="982" t="e">
        <f>+H18+J18+I18</f>
        <v>#DIV/0!</v>
      </c>
    </row>
    <row r="19" spans="1:11" s="962" customFormat="1">
      <c r="A19" s="963" t="s">
        <v>823</v>
      </c>
      <c r="B19" s="1852"/>
      <c r="C19" s="1848"/>
      <c r="D19" s="1850"/>
      <c r="E19" s="987">
        <f t="shared" si="0"/>
        <v>0</v>
      </c>
      <c r="F19" s="836">
        <f t="shared" ref="F19:F32" si="2">IF(F$12=0,0,E19*F$12)</f>
        <v>0</v>
      </c>
      <c r="G19" s="983">
        <f t="shared" si="1"/>
        <v>0</v>
      </c>
      <c r="H19" s="981">
        <f>+G19-F19</f>
        <v>0</v>
      </c>
      <c r="I19" s="983">
        <v>0</v>
      </c>
      <c r="J19" s="983" t="e">
        <f>+'6B - True-Up Interest '!G42</f>
        <v>#DIV/0!</v>
      </c>
      <c r="K19" s="982" t="e">
        <f t="shared" ref="K19:K32" si="3">+H19+J19+I19</f>
        <v>#DIV/0!</v>
      </c>
    </row>
    <row r="20" spans="1:11" s="962" customFormat="1">
      <c r="A20" s="963" t="s">
        <v>824</v>
      </c>
      <c r="B20" s="1852"/>
      <c r="C20" s="1848"/>
      <c r="D20" s="1850"/>
      <c r="E20" s="987">
        <f t="shared" si="0"/>
        <v>0</v>
      </c>
      <c r="F20" s="836">
        <f t="shared" si="2"/>
        <v>0</v>
      </c>
      <c r="G20" s="983">
        <f t="shared" si="1"/>
        <v>0</v>
      </c>
      <c r="H20" s="981">
        <f t="shared" ref="H20:H32" si="4">+G20-F20</f>
        <v>0</v>
      </c>
      <c r="I20" s="983">
        <v>0</v>
      </c>
      <c r="J20" s="983" t="e">
        <f>+'6B - True-Up Interest '!G43</f>
        <v>#DIV/0!</v>
      </c>
      <c r="K20" s="982" t="e">
        <f t="shared" si="3"/>
        <v>#DIV/0!</v>
      </c>
    </row>
    <row r="21" spans="1:11" s="962" customFormat="1">
      <c r="A21" s="963" t="s">
        <v>825</v>
      </c>
      <c r="B21" s="1852"/>
      <c r="C21" s="1848"/>
      <c r="D21" s="1850"/>
      <c r="E21" s="987">
        <f t="shared" si="0"/>
        <v>0</v>
      </c>
      <c r="F21" s="836">
        <f t="shared" si="2"/>
        <v>0</v>
      </c>
      <c r="G21" s="983">
        <f t="shared" si="1"/>
        <v>0</v>
      </c>
      <c r="H21" s="981">
        <f t="shared" si="4"/>
        <v>0</v>
      </c>
      <c r="I21" s="983">
        <v>0</v>
      </c>
      <c r="J21" s="983" t="e">
        <f>+'6B - True-Up Interest '!G44</f>
        <v>#DIV/0!</v>
      </c>
      <c r="K21" s="982" t="e">
        <f t="shared" si="3"/>
        <v>#DIV/0!</v>
      </c>
    </row>
    <row r="22" spans="1:11" s="962" customFormat="1">
      <c r="A22" s="963" t="s">
        <v>826</v>
      </c>
      <c r="B22" s="1852"/>
      <c r="C22" s="1848"/>
      <c r="D22" s="1850"/>
      <c r="E22" s="987">
        <f t="shared" si="0"/>
        <v>0</v>
      </c>
      <c r="F22" s="836">
        <f t="shared" si="2"/>
        <v>0</v>
      </c>
      <c r="G22" s="983">
        <f t="shared" si="1"/>
        <v>0</v>
      </c>
      <c r="H22" s="981">
        <f t="shared" si="4"/>
        <v>0</v>
      </c>
      <c r="I22" s="983">
        <v>0</v>
      </c>
      <c r="J22" s="983" t="e">
        <f>+'6B - True-Up Interest '!G45</f>
        <v>#DIV/0!</v>
      </c>
      <c r="K22" s="982" t="e">
        <f t="shared" si="3"/>
        <v>#DIV/0!</v>
      </c>
    </row>
    <row r="23" spans="1:11">
      <c r="A23" s="963" t="s">
        <v>827</v>
      </c>
      <c r="B23" s="1852"/>
      <c r="C23" s="1848"/>
      <c r="D23" s="1850"/>
      <c r="E23" s="987">
        <f t="shared" si="0"/>
        <v>0</v>
      </c>
      <c r="F23" s="836">
        <f t="shared" si="2"/>
        <v>0</v>
      </c>
      <c r="G23" s="983">
        <f t="shared" si="1"/>
        <v>0</v>
      </c>
      <c r="H23" s="981">
        <f t="shared" si="4"/>
        <v>0</v>
      </c>
      <c r="I23" s="983">
        <v>0</v>
      </c>
      <c r="J23" s="983" t="e">
        <f>+'6B - True-Up Interest '!G46</f>
        <v>#DIV/0!</v>
      </c>
      <c r="K23" s="982" t="e">
        <f t="shared" si="3"/>
        <v>#DIV/0!</v>
      </c>
    </row>
    <row r="24" spans="1:11">
      <c r="A24" s="963" t="s">
        <v>828</v>
      </c>
      <c r="B24" s="1852"/>
      <c r="C24" s="1848"/>
      <c r="D24" s="1850"/>
      <c r="E24" s="987">
        <f t="shared" si="0"/>
        <v>0</v>
      </c>
      <c r="F24" s="836">
        <f t="shared" si="2"/>
        <v>0</v>
      </c>
      <c r="G24" s="983">
        <f t="shared" si="1"/>
        <v>0</v>
      </c>
      <c r="H24" s="981">
        <f t="shared" si="4"/>
        <v>0</v>
      </c>
      <c r="I24" s="983">
        <v>0</v>
      </c>
      <c r="J24" s="983" t="e">
        <f>+'6B - True-Up Interest '!G47</f>
        <v>#DIV/0!</v>
      </c>
      <c r="K24" s="982" t="e">
        <f t="shared" si="3"/>
        <v>#DIV/0!</v>
      </c>
    </row>
    <row r="25" spans="1:11">
      <c r="A25" s="963" t="s">
        <v>829</v>
      </c>
      <c r="B25" s="1852"/>
      <c r="C25" s="1848"/>
      <c r="D25" s="1850"/>
      <c r="E25" s="987">
        <f t="shared" si="0"/>
        <v>0</v>
      </c>
      <c r="F25" s="836">
        <f t="shared" si="2"/>
        <v>0</v>
      </c>
      <c r="G25" s="983">
        <f t="shared" si="1"/>
        <v>0</v>
      </c>
      <c r="H25" s="981">
        <f t="shared" si="4"/>
        <v>0</v>
      </c>
      <c r="I25" s="983">
        <v>0</v>
      </c>
      <c r="J25" s="983" t="e">
        <f>+'6B - True-Up Interest '!G48</f>
        <v>#DIV/0!</v>
      </c>
      <c r="K25" s="982" t="e">
        <f t="shared" si="3"/>
        <v>#DIV/0!</v>
      </c>
    </row>
    <row r="26" spans="1:11" ht="12.75" customHeight="1">
      <c r="A26" s="963" t="s">
        <v>830</v>
      </c>
      <c r="B26" s="1852"/>
      <c r="C26" s="1848"/>
      <c r="D26" s="1850"/>
      <c r="E26" s="987">
        <f t="shared" si="0"/>
        <v>0</v>
      </c>
      <c r="F26" s="836">
        <f t="shared" si="2"/>
        <v>0</v>
      </c>
      <c r="G26" s="983">
        <f t="shared" si="1"/>
        <v>0</v>
      </c>
      <c r="H26" s="981">
        <f t="shared" si="4"/>
        <v>0</v>
      </c>
      <c r="I26" s="983">
        <v>0</v>
      </c>
      <c r="J26" s="983" t="e">
        <f>+'6B - True-Up Interest '!G49</f>
        <v>#DIV/0!</v>
      </c>
      <c r="K26" s="982" t="e">
        <f t="shared" si="3"/>
        <v>#DIV/0!</v>
      </c>
    </row>
    <row r="27" spans="1:11">
      <c r="A27" s="963" t="s">
        <v>831</v>
      </c>
      <c r="B27" s="1852"/>
      <c r="C27" s="1848"/>
      <c r="D27" s="1850"/>
      <c r="E27" s="987">
        <f t="shared" si="0"/>
        <v>0</v>
      </c>
      <c r="F27" s="836">
        <f t="shared" si="2"/>
        <v>0</v>
      </c>
      <c r="G27" s="983">
        <f t="shared" si="1"/>
        <v>0</v>
      </c>
      <c r="H27" s="981">
        <f t="shared" si="4"/>
        <v>0</v>
      </c>
      <c r="I27" s="983">
        <v>0</v>
      </c>
      <c r="J27" s="983" t="e">
        <f>+'6B - True-Up Interest '!G50</f>
        <v>#DIV/0!</v>
      </c>
      <c r="K27" s="982" t="e">
        <f t="shared" si="3"/>
        <v>#DIV/0!</v>
      </c>
    </row>
    <row r="28" spans="1:11">
      <c r="A28" s="963" t="s">
        <v>832</v>
      </c>
      <c r="B28" s="1852"/>
      <c r="C28" s="1848"/>
      <c r="D28" s="1850"/>
      <c r="E28" s="987">
        <f t="shared" si="0"/>
        <v>0</v>
      </c>
      <c r="F28" s="836">
        <f t="shared" si="2"/>
        <v>0</v>
      </c>
      <c r="G28" s="983">
        <f t="shared" si="1"/>
        <v>0</v>
      </c>
      <c r="H28" s="981">
        <f t="shared" si="4"/>
        <v>0</v>
      </c>
      <c r="I28" s="983">
        <v>0</v>
      </c>
      <c r="J28" s="983" t="e">
        <f>+'6B - True-Up Interest '!G51</f>
        <v>#DIV/0!</v>
      </c>
      <c r="K28" s="982" t="e">
        <f t="shared" si="3"/>
        <v>#DIV/0!</v>
      </c>
    </row>
    <row r="29" spans="1:11">
      <c r="A29" s="963" t="s">
        <v>833</v>
      </c>
      <c r="B29" s="1852"/>
      <c r="C29" s="1848"/>
      <c r="D29" s="1850"/>
      <c r="E29" s="987">
        <f t="shared" si="0"/>
        <v>0</v>
      </c>
      <c r="F29" s="836">
        <f t="shared" si="2"/>
        <v>0</v>
      </c>
      <c r="G29" s="983">
        <f t="shared" si="1"/>
        <v>0</v>
      </c>
      <c r="H29" s="981">
        <f t="shared" si="4"/>
        <v>0</v>
      </c>
      <c r="I29" s="983">
        <v>0</v>
      </c>
      <c r="J29" s="983" t="e">
        <f>+'6B - True-Up Interest '!G52</f>
        <v>#DIV/0!</v>
      </c>
      <c r="K29" s="982" t="e">
        <f t="shared" si="3"/>
        <v>#DIV/0!</v>
      </c>
    </row>
    <row r="30" spans="1:11">
      <c r="A30" s="963" t="s">
        <v>834</v>
      </c>
      <c r="B30" s="1852"/>
      <c r="C30" s="1848"/>
      <c r="D30" s="1850"/>
      <c r="E30" s="987">
        <f t="shared" si="0"/>
        <v>0</v>
      </c>
      <c r="F30" s="836">
        <f t="shared" si="2"/>
        <v>0</v>
      </c>
      <c r="G30" s="983">
        <f t="shared" si="1"/>
        <v>0</v>
      </c>
      <c r="H30" s="981">
        <f t="shared" si="4"/>
        <v>0</v>
      </c>
      <c r="I30" s="983">
        <v>0</v>
      </c>
      <c r="J30" s="983" t="e">
        <f>+'6B - True-Up Interest '!G53</f>
        <v>#DIV/0!</v>
      </c>
      <c r="K30" s="982" t="e">
        <f t="shared" si="3"/>
        <v>#DIV/0!</v>
      </c>
    </row>
    <row r="31" spans="1:11">
      <c r="A31" s="963" t="s">
        <v>835</v>
      </c>
      <c r="B31" s="1852"/>
      <c r="C31" s="1848"/>
      <c r="D31" s="1850"/>
      <c r="E31" s="987">
        <f t="shared" si="0"/>
        <v>0</v>
      </c>
      <c r="F31" s="836">
        <f t="shared" si="2"/>
        <v>0</v>
      </c>
      <c r="G31" s="983">
        <f t="shared" si="1"/>
        <v>0</v>
      </c>
      <c r="H31" s="981">
        <f t="shared" si="4"/>
        <v>0</v>
      </c>
      <c r="I31" s="983">
        <v>0</v>
      </c>
      <c r="J31" s="983" t="e">
        <f>+'6B - True-Up Interest '!G54</f>
        <v>#DIV/0!</v>
      </c>
      <c r="K31" s="982" t="e">
        <f t="shared" si="3"/>
        <v>#DIV/0!</v>
      </c>
    </row>
    <row r="32" spans="1:11">
      <c r="A32" s="963" t="s">
        <v>836</v>
      </c>
      <c r="B32" s="1852"/>
      <c r="C32" s="1848"/>
      <c r="D32" s="1850"/>
      <c r="E32" s="987">
        <f t="shared" si="0"/>
        <v>0</v>
      </c>
      <c r="F32" s="836">
        <f t="shared" si="2"/>
        <v>0</v>
      </c>
      <c r="G32" s="983">
        <f t="shared" si="1"/>
        <v>0</v>
      </c>
      <c r="H32" s="981">
        <f t="shared" si="4"/>
        <v>0</v>
      </c>
      <c r="I32" s="983">
        <v>0</v>
      </c>
      <c r="J32" s="983" t="e">
        <f>+'6B - True-Up Interest '!G55</f>
        <v>#DIV/0!</v>
      </c>
      <c r="K32" s="982" t="e">
        <f t="shared" si="3"/>
        <v>#DIV/0!</v>
      </c>
    </row>
    <row r="33" spans="1:11">
      <c r="A33" s="963" t="s">
        <v>837</v>
      </c>
      <c r="B33" s="1852"/>
      <c r="C33" s="1848"/>
      <c r="D33" s="1850"/>
      <c r="E33" s="987">
        <f t="shared" ref="E33:E35" si="5">IF(D$46=0,0,D33/D$46)</f>
        <v>0</v>
      </c>
      <c r="F33" s="836">
        <f t="shared" ref="F33:F35" si="6">IF(F$12=0,0,E33*F$12)</f>
        <v>0</v>
      </c>
      <c r="G33" s="983">
        <f t="shared" ref="G33:G35" si="7">+$E$81*E33</f>
        <v>0</v>
      </c>
      <c r="H33" s="981">
        <f t="shared" ref="H33:H35" si="8">+G33-F33</f>
        <v>0</v>
      </c>
      <c r="I33" s="983">
        <v>0</v>
      </c>
      <c r="J33" s="983" t="e">
        <f>+'6B - True-Up Interest '!G56</f>
        <v>#DIV/0!</v>
      </c>
      <c r="K33" s="982" t="e">
        <f t="shared" ref="K33:K35" si="9">+H33+J33+I33</f>
        <v>#DIV/0!</v>
      </c>
    </row>
    <row r="34" spans="1:11">
      <c r="A34" s="963" t="s">
        <v>838</v>
      </c>
      <c r="B34" s="1852"/>
      <c r="C34" s="1848"/>
      <c r="D34" s="1850"/>
      <c r="E34" s="987">
        <f t="shared" si="5"/>
        <v>0</v>
      </c>
      <c r="F34" s="836">
        <f t="shared" si="6"/>
        <v>0</v>
      </c>
      <c r="G34" s="983">
        <f t="shared" si="7"/>
        <v>0</v>
      </c>
      <c r="H34" s="981">
        <f t="shared" si="8"/>
        <v>0</v>
      </c>
      <c r="I34" s="983">
        <v>0</v>
      </c>
      <c r="J34" s="983" t="e">
        <f>+'6B - True-Up Interest '!G57</f>
        <v>#DIV/0!</v>
      </c>
      <c r="K34" s="982" t="e">
        <f t="shared" si="9"/>
        <v>#DIV/0!</v>
      </c>
    </row>
    <row r="35" spans="1:11">
      <c r="A35" s="963" t="s">
        <v>839</v>
      </c>
      <c r="B35" s="1852"/>
      <c r="C35" s="1848"/>
      <c r="D35" s="1850"/>
      <c r="E35" s="987">
        <f t="shared" si="5"/>
        <v>0</v>
      </c>
      <c r="F35" s="836">
        <f t="shared" si="6"/>
        <v>0</v>
      </c>
      <c r="G35" s="983">
        <f t="shared" si="7"/>
        <v>0</v>
      </c>
      <c r="H35" s="981">
        <f t="shared" si="8"/>
        <v>0</v>
      </c>
      <c r="I35" s="983">
        <v>0</v>
      </c>
      <c r="J35" s="983" t="e">
        <f>+'6B - True-Up Interest '!G58</f>
        <v>#DIV/0!</v>
      </c>
      <c r="K35" s="982" t="e">
        <f t="shared" si="9"/>
        <v>#DIV/0!</v>
      </c>
    </row>
    <row r="36" spans="1:11">
      <c r="A36" s="963" t="s">
        <v>840</v>
      </c>
      <c r="B36" s="1070"/>
      <c r="C36" s="938"/>
      <c r="D36" s="983"/>
      <c r="E36" s="987"/>
      <c r="F36" s="836"/>
      <c r="G36" s="983"/>
      <c r="H36" s="981"/>
      <c r="I36" s="983"/>
      <c r="J36" s="983"/>
      <c r="K36" s="982"/>
    </row>
    <row r="37" spans="1:11">
      <c r="A37" s="963" t="s">
        <v>841</v>
      </c>
      <c r="B37" s="1070"/>
      <c r="C37" s="938"/>
      <c r="D37" s="983"/>
      <c r="E37" s="987"/>
      <c r="F37" s="836"/>
      <c r="G37" s="983"/>
      <c r="H37" s="981"/>
      <c r="I37" s="983"/>
      <c r="J37" s="983"/>
      <c r="K37" s="982"/>
    </row>
    <row r="38" spans="1:11">
      <c r="A38" s="963" t="s">
        <v>842</v>
      </c>
      <c r="B38" s="1070"/>
      <c r="C38" s="938"/>
      <c r="D38" s="983"/>
      <c r="E38" s="987"/>
      <c r="F38" s="836"/>
      <c r="G38" s="983"/>
      <c r="H38" s="981"/>
      <c r="I38" s="983"/>
      <c r="J38" s="983"/>
      <c r="K38" s="982"/>
    </row>
    <row r="39" spans="1:11">
      <c r="A39" s="963" t="s">
        <v>843</v>
      </c>
      <c r="B39" s="1070"/>
      <c r="C39" s="938"/>
      <c r="D39" s="983"/>
      <c r="E39" s="987"/>
      <c r="F39" s="836"/>
      <c r="G39" s="983"/>
      <c r="H39" s="981"/>
      <c r="I39" s="983"/>
      <c r="J39" s="983"/>
      <c r="K39" s="982"/>
    </row>
    <row r="40" spans="1:11">
      <c r="A40" s="963" t="s">
        <v>844</v>
      </c>
      <c r="B40" s="1070"/>
      <c r="C40" s="938"/>
      <c r="D40" s="984"/>
      <c r="E40" s="987"/>
      <c r="F40" s="836"/>
      <c r="G40" s="983"/>
      <c r="H40" s="981"/>
      <c r="I40" s="983"/>
      <c r="J40" s="983"/>
      <c r="K40" s="982"/>
    </row>
    <row r="41" spans="1:11">
      <c r="A41" s="963" t="s">
        <v>845</v>
      </c>
      <c r="B41" s="985"/>
      <c r="C41" s="1071"/>
      <c r="D41" s="984"/>
      <c r="E41" s="987"/>
      <c r="F41" s="986"/>
      <c r="G41" s="983"/>
      <c r="H41" s="981"/>
      <c r="I41" s="983"/>
      <c r="J41" s="983"/>
      <c r="K41" s="982"/>
    </row>
    <row r="42" spans="1:11" ht="13.5" customHeight="1">
      <c r="A42" s="963" t="s">
        <v>846</v>
      </c>
      <c r="B42" s="985"/>
      <c r="C42" s="1071"/>
      <c r="D42" s="984"/>
      <c r="E42" s="987"/>
      <c r="F42" s="986"/>
      <c r="G42" s="984"/>
      <c r="H42" s="987"/>
      <c r="I42" s="984"/>
      <c r="J42" s="984"/>
      <c r="K42" s="988"/>
    </row>
    <row r="43" spans="1:11" ht="13.5" customHeight="1">
      <c r="A43" s="963"/>
      <c r="B43" s="985"/>
      <c r="C43" s="1071"/>
      <c r="D43" s="984"/>
      <c r="E43" s="987"/>
      <c r="F43" s="986"/>
      <c r="G43" s="984"/>
      <c r="H43" s="987"/>
      <c r="I43" s="984"/>
      <c r="J43" s="984"/>
      <c r="K43" s="988"/>
    </row>
    <row r="44" spans="1:11">
      <c r="A44" s="963"/>
      <c r="B44" s="985"/>
      <c r="C44" s="1071"/>
      <c r="D44" s="984"/>
      <c r="E44" s="987"/>
      <c r="F44" s="986"/>
      <c r="G44" s="984"/>
      <c r="H44" s="987"/>
      <c r="I44" s="984"/>
      <c r="J44" s="984"/>
      <c r="K44" s="988"/>
    </row>
    <row r="45" spans="1:11">
      <c r="A45" s="963"/>
      <c r="B45" s="989"/>
      <c r="C45" s="990"/>
      <c r="D45" s="991"/>
      <c r="E45" s="1072"/>
      <c r="F45" s="990"/>
      <c r="G45" s="991"/>
      <c r="H45" s="992"/>
      <c r="I45" s="989"/>
      <c r="J45" s="989"/>
      <c r="K45" s="989"/>
    </row>
    <row r="46" spans="1:11">
      <c r="A46" s="963">
        <v>4</v>
      </c>
      <c r="B46" s="964" t="s">
        <v>847</v>
      </c>
      <c r="C46" s="964"/>
      <c r="D46" s="993">
        <f>SUM(D18:D45)</f>
        <v>0</v>
      </c>
      <c r="E46" s="1073">
        <f>SUM(E18:E45)</f>
        <v>0</v>
      </c>
      <c r="F46" s="993">
        <f>SUM(F18:F45)</f>
        <v>0</v>
      </c>
      <c r="G46" s="993">
        <f>SUM(G18:G45)</f>
        <v>0</v>
      </c>
      <c r="H46" s="993">
        <f>SUM(H18:H45)</f>
        <v>0</v>
      </c>
      <c r="I46" s="994"/>
      <c r="J46" s="993" t="e">
        <f>SUM(J18:J45)</f>
        <v>#DIV/0!</v>
      </c>
      <c r="K46" s="993" t="e">
        <f>SUM(K18:K45)</f>
        <v>#DIV/0!</v>
      </c>
    </row>
    <row r="47" spans="1:11">
      <c r="A47" s="963"/>
      <c r="B47" s="964"/>
      <c r="C47" s="964"/>
      <c r="D47" s="994"/>
      <c r="E47" s="994"/>
      <c r="F47" s="994"/>
      <c r="G47" s="994"/>
      <c r="H47" s="994"/>
      <c r="I47" s="994"/>
      <c r="J47" s="994"/>
      <c r="K47" s="994"/>
    </row>
    <row r="48" spans="1:11">
      <c r="A48" s="963"/>
      <c r="B48" s="964"/>
      <c r="C48" s="964"/>
      <c r="D48" s="994"/>
      <c r="E48" s="994"/>
      <c r="F48" s="994"/>
      <c r="G48" s="994" t="s">
        <v>848</v>
      </c>
      <c r="H48" s="994"/>
      <c r="I48" s="994"/>
      <c r="J48" s="995" t="e">
        <f>'6B - True-Up Interest '!E26</f>
        <v>#DIV/0!</v>
      </c>
      <c r="K48" s="994"/>
    </row>
    <row r="49" spans="1:12">
      <c r="A49" s="963"/>
      <c r="B49" s="964"/>
      <c r="C49" s="964"/>
      <c r="D49" s="994"/>
      <c r="E49" s="994"/>
      <c r="F49" s="994"/>
      <c r="G49" s="994" t="s">
        <v>849</v>
      </c>
      <c r="H49" s="994"/>
      <c r="I49" s="994"/>
      <c r="J49" s="993" t="e">
        <f>+J46</f>
        <v>#DIV/0!</v>
      </c>
      <c r="K49" s="994"/>
    </row>
    <row r="50" spans="1:12">
      <c r="A50" s="963"/>
      <c r="B50" s="964" t="s">
        <v>653</v>
      </c>
      <c r="C50" s="964"/>
      <c r="D50" s="964"/>
      <c r="E50" s="964"/>
      <c r="F50" s="964"/>
      <c r="G50" s="964"/>
      <c r="H50" s="964"/>
      <c r="I50" s="964"/>
      <c r="J50" s="964"/>
      <c r="K50" s="964"/>
      <c r="L50" s="964"/>
    </row>
    <row r="51" spans="1:12">
      <c r="A51" s="963"/>
      <c r="B51" s="964" t="s">
        <v>980</v>
      </c>
      <c r="C51" s="964"/>
      <c r="D51" s="964"/>
      <c r="E51" s="964"/>
      <c r="F51" s="964"/>
      <c r="G51" s="964"/>
      <c r="H51" s="964"/>
      <c r="I51" s="964"/>
      <c r="J51" s="964"/>
      <c r="K51" s="964"/>
      <c r="L51" s="964"/>
    </row>
    <row r="52" spans="1:12">
      <c r="A52" s="963"/>
      <c r="B52" s="964" t="s">
        <v>981</v>
      </c>
      <c r="C52" s="964"/>
      <c r="D52" s="964"/>
      <c r="E52" s="964"/>
      <c r="F52" s="964"/>
      <c r="G52" s="964"/>
      <c r="H52" s="964"/>
      <c r="I52" s="964"/>
      <c r="J52" s="964"/>
      <c r="K52" s="964"/>
      <c r="L52" s="964"/>
    </row>
    <row r="53" spans="1:12">
      <c r="A53" s="963"/>
      <c r="B53" s="964" t="s">
        <v>850</v>
      </c>
      <c r="C53" s="964"/>
      <c r="D53" s="964"/>
      <c r="E53" s="964"/>
      <c r="F53" s="964"/>
      <c r="G53" s="964"/>
      <c r="H53" s="964"/>
      <c r="I53" s="964"/>
      <c r="J53" s="964"/>
      <c r="K53" s="964"/>
      <c r="L53" s="964"/>
    </row>
    <row r="54" spans="1:12">
      <c r="A54" s="963"/>
      <c r="B54" s="870" t="s">
        <v>851</v>
      </c>
      <c r="C54" s="964"/>
      <c r="D54" s="964"/>
      <c r="E54" s="964"/>
      <c r="F54" s="964"/>
      <c r="G54" s="964"/>
      <c r="H54" s="964"/>
      <c r="I54" s="964"/>
      <c r="J54" s="964"/>
      <c r="K54" s="964"/>
      <c r="L54" s="964"/>
    </row>
    <row r="55" spans="1:12">
      <c r="A55" s="963"/>
      <c r="B55" s="870" t="s">
        <v>852</v>
      </c>
      <c r="C55" s="964"/>
      <c r="D55" s="964"/>
      <c r="E55" s="964"/>
      <c r="F55" s="964"/>
      <c r="G55" s="964"/>
      <c r="H55" s="964"/>
      <c r="I55" s="964"/>
      <c r="J55" s="964"/>
      <c r="K55" s="964"/>
      <c r="L55" s="964"/>
    </row>
    <row r="56" spans="1:12">
      <c r="A56" s="963"/>
      <c r="B56" s="964" t="s">
        <v>853</v>
      </c>
      <c r="C56" s="964"/>
      <c r="D56" s="964"/>
      <c r="E56" s="964"/>
      <c r="F56" s="964"/>
      <c r="G56" s="964"/>
      <c r="H56" s="964"/>
      <c r="I56" s="964"/>
      <c r="J56" s="964"/>
      <c r="K56" s="964"/>
      <c r="L56" s="964"/>
    </row>
    <row r="57" spans="1:12">
      <c r="A57" s="963"/>
      <c r="B57" s="996" t="s">
        <v>854</v>
      </c>
      <c r="C57" s="964"/>
      <c r="D57" s="964"/>
      <c r="E57" s="964"/>
      <c r="F57" s="964"/>
      <c r="G57" s="964"/>
      <c r="H57" s="964"/>
      <c r="I57" s="964"/>
      <c r="J57" s="964"/>
      <c r="K57" s="964"/>
      <c r="L57" s="964"/>
    </row>
    <row r="58" spans="1:12">
      <c r="A58" s="963"/>
      <c r="J58" s="964"/>
      <c r="K58" s="964"/>
      <c r="L58" s="964"/>
    </row>
    <row r="59" spans="1:12">
      <c r="A59" s="963"/>
      <c r="C59" s="964"/>
      <c r="D59" s="964"/>
      <c r="E59" s="964"/>
      <c r="F59" s="964"/>
      <c r="G59" s="964"/>
      <c r="H59" s="964"/>
      <c r="I59" s="964"/>
      <c r="J59" s="964"/>
      <c r="K59" s="964"/>
      <c r="L59" s="964"/>
    </row>
    <row r="60" spans="1:12">
      <c r="A60" s="963"/>
      <c r="C60" s="964"/>
      <c r="D60" s="964"/>
      <c r="E60" s="964"/>
      <c r="F60" s="964"/>
      <c r="G60" s="964"/>
      <c r="H60" s="964"/>
      <c r="I60" s="964"/>
      <c r="J60" s="964"/>
      <c r="K60" s="964"/>
      <c r="L60" s="964"/>
    </row>
    <row r="61" spans="1:12">
      <c r="A61" s="963"/>
      <c r="B61" s="997"/>
      <c r="C61" s="997"/>
      <c r="D61" s="998"/>
      <c r="E61" s="998"/>
      <c r="F61" s="998"/>
      <c r="G61" s="998"/>
      <c r="H61" s="998"/>
      <c r="I61" s="997"/>
      <c r="J61" s="997"/>
    </row>
    <row r="62" spans="1:12">
      <c r="A62" s="999" t="s">
        <v>855</v>
      </c>
      <c r="C62" s="997"/>
      <c r="D62" s="998"/>
      <c r="E62" s="998"/>
      <c r="F62" s="998"/>
      <c r="G62" s="998"/>
      <c r="H62" s="998"/>
      <c r="I62" s="997"/>
      <c r="J62" s="997"/>
    </row>
    <row r="63" spans="1:12">
      <c r="A63" s="963"/>
      <c r="B63" s="900" t="s">
        <v>619</v>
      </c>
      <c r="C63" s="1000" t="s">
        <v>620</v>
      </c>
      <c r="D63" s="1001" t="s">
        <v>621</v>
      </c>
      <c r="E63" s="1001" t="s">
        <v>622</v>
      </c>
      <c r="F63" s="900"/>
      <c r="J63" s="997"/>
    </row>
    <row r="64" spans="1:12">
      <c r="A64" s="963"/>
      <c r="B64" s="1002" t="str">
        <f>+A62</f>
        <v>Prior Period Adjustments</v>
      </c>
      <c r="C64" s="1003" t="s">
        <v>128</v>
      </c>
      <c r="D64" s="1003" t="s">
        <v>219</v>
      </c>
      <c r="E64" s="1003" t="s">
        <v>59</v>
      </c>
      <c r="J64" s="997"/>
    </row>
    <row r="65" spans="1:10">
      <c r="A65" s="963"/>
      <c r="B65" s="1004" t="s">
        <v>424</v>
      </c>
      <c r="C65" s="1005" t="s">
        <v>856</v>
      </c>
      <c r="D65" s="1004" t="s">
        <v>424</v>
      </c>
      <c r="E65" s="1005" t="s">
        <v>857</v>
      </c>
      <c r="J65" s="997"/>
    </row>
    <row r="66" spans="1:10">
      <c r="A66" s="963" t="s">
        <v>703</v>
      </c>
      <c r="B66" s="1006">
        <v>0</v>
      </c>
      <c r="C66" s="1007">
        <v>0</v>
      </c>
      <c r="D66" s="1007">
        <v>0</v>
      </c>
      <c r="E66" s="1008">
        <f>+C66+D66</f>
        <v>0</v>
      </c>
      <c r="J66" s="997"/>
    </row>
    <row r="67" spans="1:10">
      <c r="A67" s="963"/>
      <c r="B67" s="1009"/>
      <c r="C67" s="950"/>
      <c r="D67" s="950"/>
      <c r="E67" s="951"/>
      <c r="J67" s="997"/>
    </row>
    <row r="68" spans="1:10">
      <c r="A68" s="963"/>
      <c r="B68" s="900"/>
      <c r="E68" s="872"/>
      <c r="J68" s="997"/>
    </row>
    <row r="69" spans="1:10">
      <c r="A69" s="963"/>
      <c r="B69" s="900"/>
      <c r="E69" s="872"/>
      <c r="J69" s="997"/>
    </row>
    <row r="70" spans="1:10">
      <c r="A70" s="963"/>
      <c r="C70" s="997"/>
      <c r="D70" s="997"/>
      <c r="E70" s="997"/>
      <c r="F70" s="997"/>
      <c r="G70" s="997"/>
      <c r="H70" s="1010"/>
      <c r="J70" s="997"/>
    </row>
    <row r="71" spans="1:10" ht="13.5">
      <c r="A71" s="963">
        <v>6</v>
      </c>
      <c r="B71" s="319" t="s">
        <v>1146</v>
      </c>
      <c r="C71" s="317"/>
      <c r="D71" s="317"/>
      <c r="E71" s="317"/>
      <c r="F71" s="317"/>
      <c r="G71" s="997"/>
      <c r="H71" s="1010"/>
      <c r="J71" s="997"/>
    </row>
    <row r="72" spans="1:10" ht="13.5">
      <c r="A72" s="963"/>
      <c r="B72" s="319"/>
      <c r="C72" s="317"/>
      <c r="D72" s="317"/>
      <c r="E72" s="317"/>
      <c r="F72" s="317"/>
      <c r="G72" s="997"/>
      <c r="H72" s="1010"/>
      <c r="J72" s="997"/>
    </row>
    <row r="73" spans="1:10" ht="15">
      <c r="A73" s="963">
        <v>7</v>
      </c>
      <c r="B73" s="319"/>
      <c r="C73" s="316" t="s">
        <v>216</v>
      </c>
      <c r="D73" s="316" t="s">
        <v>217</v>
      </c>
      <c r="E73" s="316" t="s">
        <v>218</v>
      </c>
      <c r="F73"/>
      <c r="G73"/>
      <c r="H73" s="1010"/>
      <c r="J73" s="997"/>
    </row>
    <row r="74" spans="1:10" ht="15">
      <c r="A74" s="963">
        <v>8</v>
      </c>
      <c r="B74" s="311"/>
      <c r="C74" s="1346" t="s">
        <v>1246</v>
      </c>
      <c r="D74" s="312" t="s">
        <v>687</v>
      </c>
      <c r="E74" s="312" t="s">
        <v>891</v>
      </c>
      <c r="F74"/>
      <c r="G74"/>
      <c r="H74"/>
      <c r="I74"/>
      <c r="J74"/>
    </row>
    <row r="75" spans="1:10" ht="15">
      <c r="A75" s="963">
        <v>9</v>
      </c>
      <c r="B75" s="314" t="s">
        <v>685</v>
      </c>
      <c r="C75" s="1129"/>
      <c r="D75" s="1129"/>
      <c r="E75" s="1126">
        <f>+C75-D75</f>
        <v>0</v>
      </c>
      <c r="F75"/>
      <c r="G75"/>
      <c r="H75"/>
      <c r="I75"/>
      <c r="J75"/>
    </row>
    <row r="76" spans="1:10" ht="15">
      <c r="A76" s="963">
        <v>10</v>
      </c>
      <c r="B76" s="314" t="s">
        <v>686</v>
      </c>
      <c r="C76" s="1129"/>
      <c r="D76" s="1129"/>
      <c r="E76" s="1126">
        <f>+C76-D76</f>
        <v>0</v>
      </c>
      <c r="F76"/>
      <c r="G76"/>
      <c r="H76"/>
      <c r="I76"/>
      <c r="J76"/>
    </row>
    <row r="77" spans="1:10" ht="15">
      <c r="A77" s="963">
        <v>11</v>
      </c>
      <c r="B77" s="314"/>
      <c r="C77" s="317"/>
      <c r="D77" s="317"/>
      <c r="E77" s="1126">
        <f>SUM(E75:E76)</f>
        <v>0</v>
      </c>
      <c r="F77" s="313"/>
      <c r="G77"/>
      <c r="H77"/>
      <c r="I77"/>
      <c r="J77"/>
    </row>
    <row r="78" spans="1:10" ht="15">
      <c r="A78" s="963"/>
      <c r="B78" s="314"/>
      <c r="C78" s="317"/>
      <c r="D78" s="317"/>
      <c r="E78" s="313"/>
      <c r="F78" s="313"/>
      <c r="G78"/>
      <c r="H78"/>
      <c r="I78"/>
      <c r="J78"/>
    </row>
    <row r="79" spans="1:10" ht="15">
      <c r="A79" s="963">
        <v>12</v>
      </c>
      <c r="B79" s="319" t="s">
        <v>1145</v>
      </c>
      <c r="C79" s="317"/>
      <c r="D79" s="317"/>
      <c r="E79" s="313"/>
      <c r="F79" s="313"/>
      <c r="G79"/>
      <c r="H79"/>
      <c r="I79"/>
      <c r="J79"/>
    </row>
    <row r="80" spans="1:10" ht="15">
      <c r="A80" s="963"/>
      <c r="B80" s="315"/>
      <c r="C80" s="317"/>
      <c r="D80" s="317"/>
      <c r="E80" s="313"/>
      <c r="F80" s="313"/>
      <c r="G80"/>
      <c r="H80"/>
      <c r="I80"/>
      <c r="J80"/>
    </row>
    <row r="81" spans="1:10" ht="15">
      <c r="A81" s="963">
        <v>13</v>
      </c>
      <c r="B81" s="314" t="s">
        <v>892</v>
      </c>
      <c r="C81" s="1129"/>
      <c r="D81" s="1129"/>
      <c r="E81" s="1125">
        <f>+C81-D81</f>
        <v>0</v>
      </c>
      <c r="F81" s="997"/>
      <c r="G81"/>
      <c r="H81"/>
      <c r="I81"/>
      <c r="J81"/>
    </row>
    <row r="82" spans="1:10" ht="15">
      <c r="A82" s="963"/>
      <c r="C82" s="997"/>
      <c r="D82" s="997"/>
      <c r="E82" s="997"/>
      <c r="F82" s="997"/>
      <c r="G82"/>
      <c r="H82"/>
      <c r="I82"/>
      <c r="J82"/>
    </row>
    <row r="83" spans="1:10" ht="15">
      <c r="A83" s="963"/>
      <c r="C83" s="997"/>
      <c r="D83" s="997"/>
      <c r="E83" s="997"/>
      <c r="F83" s="997"/>
      <c r="G83"/>
      <c r="H83"/>
      <c r="I83"/>
      <c r="J83"/>
    </row>
    <row r="84" spans="1:10" ht="66" customHeight="1">
      <c r="A84" s="963"/>
      <c r="C84" s="958"/>
      <c r="D84" s="1011"/>
      <c r="E84" s="1011"/>
      <c r="F84" s="1011"/>
      <c r="G84" s="1152"/>
      <c r="H84" s="1011"/>
      <c r="I84" s="1011"/>
      <c r="J84" s="997"/>
    </row>
    <row r="85" spans="1:10" ht="56.25" customHeight="1">
      <c r="A85" s="1012" t="s">
        <v>653</v>
      </c>
      <c r="B85" s="957" t="s">
        <v>9</v>
      </c>
      <c r="C85" s="2014" t="s">
        <v>1533</v>
      </c>
      <c r="D85" s="2014"/>
      <c r="E85" s="2014"/>
      <c r="F85" s="2014"/>
      <c r="G85" s="2014"/>
      <c r="H85" s="2014"/>
      <c r="I85" s="2014"/>
      <c r="J85" s="2014"/>
    </row>
    <row r="86" spans="1:10" ht="27" customHeight="1">
      <c r="A86" s="963"/>
      <c r="B86" s="1013" t="s">
        <v>10</v>
      </c>
      <c r="C86" s="2005" t="s">
        <v>1534</v>
      </c>
      <c r="D86" s="2005"/>
      <c r="E86" s="2005"/>
      <c r="F86" s="2005"/>
      <c r="G86" s="2005"/>
      <c r="H86" s="2005"/>
      <c r="I86" s="2005"/>
      <c r="J86" s="1489"/>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topLeftCell="A45" zoomScaleNormal="100" workbookViewId="0">
      <selection activeCell="K61" sqref="K61"/>
    </sheetView>
  </sheetViews>
  <sheetFormatPr defaultColWidth="11.42578125" defaultRowHeight="12.75"/>
  <cols>
    <col min="1" max="1" width="5.140625" style="1014" customWidth="1"/>
    <col min="2" max="2" width="47.85546875" style="1014" customWidth="1"/>
    <col min="3" max="3" width="24.28515625" style="1014" customWidth="1"/>
    <col min="4" max="4" width="22.140625" style="1014" customWidth="1"/>
    <col min="5" max="5" width="12.140625" style="1014" customWidth="1"/>
    <col min="6" max="6" width="10" style="1014" customWidth="1"/>
    <col min="7" max="7" width="16.5703125" style="1014" customWidth="1"/>
    <col min="8" max="16" width="10" style="1014" customWidth="1"/>
    <col min="17" max="17" width="13.7109375" style="1014" bestFit="1" customWidth="1"/>
    <col min="18" max="16384" width="11.42578125" style="1014"/>
  </cols>
  <sheetData>
    <row r="1" spans="1:27">
      <c r="E1" s="803" t="s">
        <v>860</v>
      </c>
      <c r="I1" s="1015"/>
      <c r="P1" s="1160"/>
    </row>
    <row r="2" spans="1:27">
      <c r="E2" s="1016" t="s">
        <v>865</v>
      </c>
      <c r="I2" s="1160"/>
    </row>
    <row r="3" spans="1:27">
      <c r="E3" s="808" t="s">
        <v>344</v>
      </c>
    </row>
    <row r="4" spans="1:27">
      <c r="I4" s="808"/>
    </row>
    <row r="5" spans="1:27">
      <c r="F5" s="1017"/>
      <c r="G5" s="1017"/>
      <c r="H5" s="1017"/>
      <c r="I5" s="808"/>
    </row>
    <row r="6" spans="1:27" ht="15">
      <c r="E6" s="1018" t="s">
        <v>866</v>
      </c>
      <c r="F6" s="1019"/>
      <c r="G6" s="1020"/>
      <c r="H6" s="1019"/>
    </row>
    <row r="7" spans="1:27" ht="46.5" customHeight="1">
      <c r="A7" s="1021"/>
      <c r="B7" s="1022"/>
      <c r="C7" s="1023" t="s">
        <v>867</v>
      </c>
      <c r="D7" s="1023"/>
      <c r="E7" s="1024" t="s">
        <v>868</v>
      </c>
      <c r="F7" s="1025"/>
      <c r="G7" s="1025"/>
      <c r="H7" s="1025"/>
      <c r="S7" s="1017"/>
      <c r="T7" s="1017"/>
      <c r="U7" s="1017"/>
      <c r="V7" s="1017"/>
      <c r="W7" s="1017"/>
      <c r="X7" s="1017"/>
      <c r="Y7" s="1017"/>
      <c r="Z7" s="1017"/>
      <c r="AA7" s="1017"/>
    </row>
    <row r="8" spans="1:27" ht="15">
      <c r="A8" s="1832">
        <v>1</v>
      </c>
      <c r="B8" s="1833"/>
      <c r="C8" s="1014" t="s">
        <v>636</v>
      </c>
      <c r="D8" s="1027"/>
      <c r="E8" s="1028"/>
      <c r="F8" s="1159"/>
      <c r="G8" s="1030"/>
      <c r="H8" s="1030"/>
      <c r="S8" s="1031"/>
      <c r="T8" s="1031"/>
      <c r="U8" s="1031"/>
      <c r="V8" s="1032"/>
      <c r="W8" s="1019"/>
      <c r="X8" s="1020"/>
      <c r="Y8" s="1019"/>
      <c r="Z8" s="1031"/>
      <c r="AA8" s="1017"/>
    </row>
    <row r="9" spans="1:27" ht="15">
      <c r="A9" s="1832">
        <v>2</v>
      </c>
      <c r="B9" s="1833"/>
      <c r="C9" s="1014" t="s">
        <v>637</v>
      </c>
      <c r="D9" s="1027"/>
      <c r="E9" s="1028"/>
      <c r="F9" s="1159"/>
      <c r="G9" s="1030"/>
      <c r="H9" s="1030"/>
      <c r="S9" s="1031"/>
      <c r="T9" s="1033"/>
      <c r="U9" s="1033"/>
      <c r="V9" s="1025"/>
      <c r="W9" s="1025"/>
      <c r="X9" s="1025"/>
      <c r="Y9" s="1025"/>
      <c r="Z9" s="1025"/>
      <c r="AA9" s="1017"/>
    </row>
    <row r="10" spans="1:27" ht="15">
      <c r="A10" s="1832">
        <v>3</v>
      </c>
      <c r="B10" s="1833"/>
      <c r="C10" s="1014" t="s">
        <v>664</v>
      </c>
      <c r="D10" s="1027"/>
      <c r="E10" s="1028"/>
      <c r="F10" s="1159"/>
      <c r="G10" s="1030"/>
      <c r="H10" s="1030"/>
      <c r="S10" s="1031"/>
      <c r="T10" s="1033"/>
      <c r="U10" s="1033"/>
      <c r="V10" s="1029"/>
      <c r="W10" s="1029"/>
      <c r="X10" s="1034"/>
      <c r="Y10" s="1034"/>
      <c r="Z10" s="1034"/>
      <c r="AA10" s="1017"/>
    </row>
    <row r="11" spans="1:27" ht="15">
      <c r="A11" s="1832">
        <v>4</v>
      </c>
      <c r="B11" s="1833"/>
      <c r="C11" s="1014" t="s">
        <v>213</v>
      </c>
      <c r="D11" s="1027"/>
      <c r="E11" s="1028"/>
      <c r="F11" s="1159"/>
      <c r="G11" s="1030"/>
      <c r="H11" s="1030"/>
      <c r="S11" s="1031"/>
      <c r="T11" s="1033"/>
      <c r="U11" s="1033"/>
      <c r="V11" s="1029"/>
      <c r="W11" s="1029"/>
      <c r="X11" s="1034"/>
      <c r="Y11" s="1034"/>
      <c r="Z11" s="1034"/>
      <c r="AA11" s="1017"/>
    </row>
    <row r="12" spans="1:27" ht="15.75" customHeight="1">
      <c r="A12" s="1832">
        <v>5</v>
      </c>
      <c r="B12" s="1833"/>
      <c r="C12" s="1014" t="s">
        <v>214</v>
      </c>
      <c r="D12" s="1027"/>
      <c r="E12" s="1028"/>
      <c r="F12" s="1159"/>
      <c r="G12" s="1030"/>
      <c r="H12" s="1030"/>
      <c r="S12" s="1031"/>
      <c r="T12" s="1033"/>
      <c r="U12" s="1033"/>
      <c r="V12" s="1029"/>
      <c r="W12" s="1029"/>
      <c r="X12" s="1034"/>
      <c r="Y12" s="1034"/>
      <c r="Z12" s="1034"/>
      <c r="AA12" s="1017"/>
    </row>
    <row r="13" spans="1:27" ht="15">
      <c r="A13" s="1832">
        <v>6</v>
      </c>
      <c r="B13" s="1833"/>
      <c r="C13" s="1014" t="s">
        <v>215</v>
      </c>
      <c r="D13" s="1027"/>
      <c r="E13" s="1028"/>
      <c r="F13" s="1159"/>
      <c r="G13" s="1030"/>
      <c r="H13" s="1030"/>
      <c r="S13" s="1031"/>
      <c r="T13" s="1033"/>
      <c r="U13" s="1033"/>
      <c r="V13" s="1029"/>
      <c r="W13" s="1029"/>
      <c r="X13" s="1034"/>
      <c r="Y13" s="1034"/>
      <c r="Z13" s="1034"/>
      <c r="AA13" s="1017"/>
    </row>
    <row r="14" spans="1:27" ht="15">
      <c r="A14" s="1832">
        <v>7</v>
      </c>
      <c r="B14" s="1833"/>
      <c r="C14" s="1014" t="s">
        <v>639</v>
      </c>
      <c r="D14" s="1027"/>
      <c r="E14" s="1028"/>
      <c r="F14" s="1159"/>
      <c r="G14" s="1030"/>
      <c r="H14" s="1030"/>
      <c r="S14" s="1031"/>
      <c r="T14" s="1031"/>
      <c r="U14" s="1031"/>
      <c r="V14" s="1031"/>
      <c r="W14" s="1031"/>
      <c r="X14" s="1031"/>
      <c r="Y14" s="1031"/>
      <c r="Z14" s="1031"/>
      <c r="AA14" s="1017"/>
    </row>
    <row r="15" spans="1:27" ht="15">
      <c r="A15" s="1832">
        <v>8</v>
      </c>
      <c r="B15" s="1833"/>
      <c r="C15" s="1014" t="s">
        <v>665</v>
      </c>
      <c r="D15" s="1027"/>
      <c r="E15" s="1028"/>
      <c r="F15" s="1159"/>
      <c r="G15" s="1030"/>
      <c r="H15" s="1030"/>
      <c r="S15" s="1031"/>
      <c r="T15" s="1031"/>
      <c r="U15" s="1031"/>
      <c r="V15" s="1031"/>
      <c r="W15" s="1031"/>
      <c r="X15" s="1031"/>
      <c r="Y15" s="1031"/>
      <c r="Z15" s="1031"/>
      <c r="AA15" s="1017"/>
    </row>
    <row r="16" spans="1:27" ht="15">
      <c r="A16" s="1832">
        <v>9</v>
      </c>
      <c r="B16" s="1833"/>
      <c r="C16" s="1014" t="s">
        <v>641</v>
      </c>
      <c r="D16" s="1027"/>
      <c r="E16" s="1028"/>
      <c r="F16" s="1159"/>
      <c r="G16" s="1030"/>
      <c r="H16" s="1030"/>
      <c r="S16" s="1031"/>
      <c r="T16" s="1031"/>
      <c r="U16" s="1031"/>
      <c r="V16" s="1031"/>
      <c r="W16" s="1031"/>
      <c r="X16" s="1031"/>
      <c r="Y16" s="1031"/>
      <c r="Z16" s="1031"/>
      <c r="AA16" s="1017"/>
    </row>
    <row r="17" spans="1:27" ht="15">
      <c r="A17" s="1832">
        <v>10</v>
      </c>
      <c r="B17" s="1833"/>
      <c r="C17" s="1014" t="s">
        <v>642</v>
      </c>
      <c r="D17" s="1027"/>
      <c r="E17" s="1028"/>
      <c r="F17" s="1159"/>
      <c r="H17" s="1030"/>
      <c r="S17" s="1031"/>
      <c r="T17" s="1031"/>
      <c r="U17" s="1031"/>
      <c r="V17" s="1031"/>
      <c r="W17" s="1031"/>
      <c r="X17" s="1031"/>
      <c r="Y17" s="1031"/>
      <c r="Z17" s="1031"/>
      <c r="AA17" s="1017"/>
    </row>
    <row r="18" spans="1:27" ht="15">
      <c r="A18" s="1832">
        <v>11</v>
      </c>
      <c r="B18" s="1833"/>
      <c r="C18" s="1014" t="s">
        <v>643</v>
      </c>
      <c r="D18" s="1027"/>
      <c r="E18" s="1028"/>
      <c r="F18" s="1159"/>
      <c r="G18" s="1030"/>
      <c r="H18" s="1030"/>
      <c r="S18" s="1031"/>
      <c r="T18" s="1031"/>
      <c r="U18" s="1031"/>
      <c r="V18" s="1031"/>
      <c r="W18" s="1031"/>
      <c r="X18" s="1031"/>
      <c r="Y18" s="1031"/>
      <c r="Z18" s="1031"/>
      <c r="AA18" s="1017"/>
    </row>
    <row r="19" spans="1:27" ht="15">
      <c r="A19" s="1832">
        <v>12</v>
      </c>
      <c r="B19" s="1833"/>
      <c r="C19" s="1014" t="s">
        <v>869</v>
      </c>
      <c r="D19" s="1027"/>
      <c r="E19" s="1028"/>
      <c r="F19" s="1159"/>
      <c r="S19" s="1031"/>
      <c r="T19" s="1031"/>
      <c r="U19" s="1031"/>
      <c r="V19" s="1031"/>
      <c r="W19" s="1031"/>
      <c r="X19" s="1031"/>
      <c r="Y19" s="1031"/>
      <c r="Z19" s="1031"/>
      <c r="AA19" s="1017"/>
    </row>
    <row r="20" spans="1:27" ht="15">
      <c r="A20" s="1832">
        <v>13</v>
      </c>
      <c r="B20" s="1833"/>
      <c r="C20" s="1014" t="s">
        <v>636</v>
      </c>
      <c r="D20" s="1027"/>
      <c r="E20" s="1028"/>
      <c r="F20" s="1159"/>
      <c r="G20" s="1030"/>
      <c r="S20" s="1031"/>
      <c r="T20" s="1031"/>
      <c r="U20" s="1031"/>
      <c r="V20" s="1031"/>
      <c r="W20" s="1031"/>
      <c r="X20" s="1031"/>
      <c r="Y20" s="1031"/>
      <c r="Z20" s="1031"/>
      <c r="AA20" s="1017"/>
    </row>
    <row r="21" spans="1:27" ht="15">
      <c r="A21" s="1832">
        <v>14</v>
      </c>
      <c r="B21" s="1833"/>
      <c r="C21" s="1014" t="s">
        <v>637</v>
      </c>
      <c r="D21" s="1027"/>
      <c r="E21" s="1028"/>
      <c r="F21" s="1159"/>
      <c r="G21" s="1030"/>
      <c r="H21" s="1030"/>
      <c r="S21" s="1031"/>
      <c r="T21" s="1031"/>
      <c r="U21" s="1031"/>
      <c r="V21" s="1031"/>
      <c r="W21" s="1031"/>
      <c r="X21" s="1031"/>
      <c r="Y21" s="1031"/>
      <c r="Z21" s="1031"/>
      <c r="AA21" s="1017"/>
    </row>
    <row r="22" spans="1:27" ht="15">
      <c r="A22" s="1832">
        <v>15</v>
      </c>
      <c r="B22" s="1833"/>
      <c r="C22" s="1014" t="s">
        <v>664</v>
      </c>
      <c r="D22" s="1027"/>
      <c r="E22" s="1028"/>
      <c r="F22" s="1159"/>
      <c r="G22" s="1030"/>
      <c r="H22" s="1030"/>
      <c r="S22" s="1031"/>
      <c r="T22" s="1031"/>
      <c r="U22" s="1031"/>
      <c r="V22" s="1031"/>
      <c r="W22" s="1031"/>
      <c r="X22" s="1031"/>
      <c r="Y22" s="1031"/>
      <c r="Z22" s="1031"/>
      <c r="AA22" s="1017"/>
    </row>
    <row r="23" spans="1:27" ht="15">
      <c r="A23" s="1832">
        <v>16</v>
      </c>
      <c r="B23" s="1833"/>
      <c r="C23" s="1014" t="s">
        <v>213</v>
      </c>
      <c r="D23" s="1027"/>
      <c r="E23" s="1028"/>
      <c r="F23" s="1159"/>
      <c r="G23" s="1030"/>
      <c r="H23" s="1030"/>
      <c r="S23" s="1031"/>
      <c r="T23" s="1031"/>
      <c r="U23" s="1031"/>
      <c r="V23" s="1031"/>
      <c r="W23" s="1031"/>
      <c r="X23" s="1031"/>
      <c r="Y23" s="1031"/>
      <c r="Z23" s="1031"/>
      <c r="AA23" s="1017"/>
    </row>
    <row r="24" spans="1:27" ht="15">
      <c r="A24" s="1832">
        <v>17</v>
      </c>
      <c r="B24" s="1833"/>
      <c r="C24" s="1014" t="s">
        <v>214</v>
      </c>
      <c r="D24" s="1027"/>
      <c r="E24" s="1028"/>
      <c r="F24" s="1159"/>
      <c r="G24" s="1030"/>
      <c r="H24" s="1030"/>
      <c r="S24" s="1031"/>
      <c r="T24" s="1031"/>
      <c r="U24" s="1031"/>
      <c r="V24" s="1031"/>
      <c r="W24" s="1031"/>
      <c r="X24" s="1031"/>
      <c r="Y24" s="1031"/>
      <c r="Z24" s="1031"/>
      <c r="AA24" s="1017"/>
    </row>
    <row r="25" spans="1:27" ht="15">
      <c r="A25" s="1832"/>
      <c r="B25" s="1833"/>
      <c r="C25" s="1035"/>
      <c r="D25" s="1036"/>
      <c r="E25" s="1036"/>
      <c r="F25" s="1036"/>
      <c r="G25" s="1036"/>
      <c r="H25" s="1036"/>
      <c r="S25" s="1031"/>
      <c r="T25" s="1031"/>
      <c r="U25" s="1031"/>
      <c r="V25" s="1037"/>
      <c r="W25" s="1034"/>
      <c r="X25" s="1031"/>
      <c r="Y25" s="1031"/>
      <c r="Z25" s="1031"/>
      <c r="AA25" s="1017"/>
    </row>
    <row r="26" spans="1:27" ht="15">
      <c r="A26" s="1832">
        <v>18</v>
      </c>
      <c r="B26" s="1834" t="s">
        <v>870</v>
      </c>
      <c r="C26" s="1038"/>
      <c r="D26" s="1036"/>
      <c r="E26" s="1835" t="e">
        <f>AVERAGE(E8:E24)</f>
        <v>#DIV/0!</v>
      </c>
      <c r="F26" s="1036"/>
      <c r="G26" s="1036"/>
      <c r="H26" s="1036"/>
      <c r="S26" s="1031"/>
      <c r="T26" s="1031"/>
      <c r="U26" s="1031"/>
      <c r="V26" s="1037"/>
      <c r="W26" s="1034"/>
      <c r="X26" s="1031"/>
      <c r="Y26" s="1031"/>
      <c r="Z26" s="1031"/>
      <c r="AA26" s="1017"/>
    </row>
    <row r="27" spans="1:27" ht="15">
      <c r="A27" s="1833"/>
      <c r="B27" s="1833"/>
      <c r="C27" s="1038"/>
      <c r="D27" s="1036"/>
      <c r="E27" s="1036"/>
      <c r="F27" s="1027"/>
      <c r="G27" s="1027"/>
      <c r="H27" s="1027"/>
      <c r="S27" s="1031"/>
      <c r="T27" s="1031"/>
      <c r="U27" s="1031"/>
      <c r="V27" s="1031"/>
      <c r="W27" s="1031"/>
      <c r="X27" s="1031"/>
      <c r="Y27" s="1031"/>
      <c r="Z27" s="1031"/>
      <c r="AA27" s="1017"/>
    </row>
    <row r="28" spans="1:27" ht="15">
      <c r="A28" s="1833" t="s">
        <v>871</v>
      </c>
      <c r="B28" s="1833"/>
      <c r="C28" s="1026"/>
      <c r="D28" s="1026"/>
      <c r="E28" s="1026"/>
      <c r="F28" s="1026"/>
      <c r="G28" s="1026"/>
      <c r="H28" s="1026"/>
      <c r="S28" s="1031"/>
      <c r="T28" s="1031"/>
      <c r="U28" s="1031"/>
      <c r="V28" s="1031"/>
      <c r="W28" s="1031"/>
      <c r="X28" s="1031"/>
      <c r="Y28" s="1031"/>
      <c r="Z28" s="1031"/>
      <c r="AA28" s="1017"/>
    </row>
    <row r="29" spans="1:27" ht="15">
      <c r="A29" s="1026"/>
      <c r="B29" s="1039" t="s">
        <v>872</v>
      </c>
      <c r="C29" s="1026"/>
      <c r="D29" s="1026"/>
      <c r="E29" s="1026"/>
      <c r="F29" s="1026"/>
      <c r="G29" s="1026"/>
      <c r="H29" s="1026"/>
      <c r="S29" s="1033"/>
      <c r="T29" s="1017"/>
      <c r="U29" s="1031"/>
      <c r="V29" s="1031"/>
      <c r="W29" s="1031"/>
      <c r="X29" s="1031"/>
      <c r="Y29" s="1031"/>
      <c r="Z29" s="1031"/>
      <c r="AA29" s="1017"/>
    </row>
    <row r="30" spans="1:27" ht="15">
      <c r="A30" s="1026"/>
      <c r="B30" s="1039"/>
      <c r="C30" s="1026"/>
      <c r="D30" s="1026"/>
      <c r="E30" s="1026"/>
      <c r="F30" s="1026"/>
      <c r="G30" s="1026"/>
      <c r="H30" s="1026"/>
      <c r="S30" s="1039"/>
      <c r="U30" s="1039"/>
      <c r="V30" s="1039"/>
      <c r="W30" s="1039"/>
      <c r="X30" s="1039"/>
      <c r="Y30" s="1039"/>
      <c r="Z30" s="1039"/>
    </row>
    <row r="31" spans="1:27" ht="15">
      <c r="A31" s="1026"/>
      <c r="B31" s="1039"/>
      <c r="C31" s="1026"/>
      <c r="D31" s="1026"/>
      <c r="E31" s="1026"/>
      <c r="F31" s="1026"/>
      <c r="G31" s="1026"/>
      <c r="H31" s="1026"/>
      <c r="S31" s="1039"/>
      <c r="T31" s="1039"/>
      <c r="U31" s="1039"/>
      <c r="V31" s="1039"/>
      <c r="W31" s="1039"/>
      <c r="X31" s="1039"/>
      <c r="Y31" s="1039"/>
      <c r="Z31" s="1039"/>
    </row>
    <row r="32" spans="1:27" ht="15">
      <c r="A32" s="1026"/>
      <c r="B32" s="1026"/>
      <c r="C32" s="1026"/>
      <c r="D32" s="1026"/>
      <c r="E32" s="1026"/>
      <c r="F32" s="1026"/>
      <c r="G32" s="1026"/>
      <c r="H32" s="1026"/>
    </row>
    <row r="33" spans="1:17">
      <c r="A33" s="963"/>
      <c r="B33" s="1040"/>
      <c r="C33" s="1040"/>
      <c r="D33" s="2015"/>
      <c r="E33" s="2015"/>
      <c r="F33" s="1041"/>
      <c r="G33" s="1041"/>
      <c r="H33" s="1084"/>
      <c r="I33" s="1041"/>
      <c r="J33" s="1041"/>
      <c r="K33" s="1041"/>
    </row>
    <row r="34" spans="1:17">
      <c r="A34" s="963">
        <v>19</v>
      </c>
      <c r="B34" s="1040" t="s">
        <v>212</v>
      </c>
      <c r="C34" s="1040"/>
      <c r="D34" s="2015"/>
      <c r="E34" s="2015"/>
      <c r="F34" s="2015"/>
      <c r="G34" s="2015"/>
      <c r="H34" s="1084"/>
      <c r="I34" s="2015"/>
      <c r="J34" s="2015"/>
      <c r="K34" s="2015"/>
      <c r="L34" s="2015"/>
    </row>
    <row r="35" spans="1:17">
      <c r="A35" s="963">
        <v>20</v>
      </c>
      <c r="B35" s="1040"/>
      <c r="C35" s="1040"/>
      <c r="D35" s="1041"/>
      <c r="E35" s="1041"/>
      <c r="F35" s="1042"/>
      <c r="G35" s="1041"/>
      <c r="H35" s="1041"/>
      <c r="I35" s="1041"/>
      <c r="J35" s="1041"/>
      <c r="K35" s="1041"/>
      <c r="L35" s="1041"/>
    </row>
    <row r="36" spans="1:17">
      <c r="A36" s="962"/>
      <c r="B36" s="1043" t="s">
        <v>9</v>
      </c>
      <c r="C36" s="1044" t="s">
        <v>10</v>
      </c>
      <c r="D36" s="1044" t="s">
        <v>11</v>
      </c>
      <c r="E36" s="1044" t="s">
        <v>14</v>
      </c>
      <c r="F36" s="1044" t="s">
        <v>166</v>
      </c>
      <c r="G36" s="1045" t="s">
        <v>169</v>
      </c>
      <c r="H36" s="1084"/>
      <c r="I36" s="1084"/>
      <c r="J36" s="1084"/>
      <c r="K36" s="1084"/>
      <c r="L36" s="1084"/>
      <c r="M36" s="1084"/>
      <c r="N36" s="1084"/>
      <c r="O36" s="1084"/>
      <c r="P36" s="1084"/>
      <c r="Q36" s="1084"/>
    </row>
    <row r="37" spans="1:17">
      <c r="A37" s="963"/>
      <c r="B37" s="1046"/>
      <c r="C37" s="1084"/>
      <c r="D37" s="1084"/>
      <c r="E37" s="1084"/>
      <c r="F37" s="1084"/>
      <c r="G37" s="1047"/>
      <c r="H37" s="1084"/>
      <c r="I37" s="1041"/>
      <c r="J37" s="1084"/>
      <c r="K37" s="1041"/>
      <c r="L37" s="1041"/>
      <c r="M37" s="1017"/>
      <c r="N37" s="1017"/>
      <c r="O37" s="1017"/>
      <c r="P37" s="1017"/>
      <c r="Q37" s="1017"/>
    </row>
    <row r="38" spans="1:17">
      <c r="A38" s="963"/>
      <c r="B38" s="1048"/>
      <c r="C38" s="1084"/>
      <c r="D38" s="1084"/>
      <c r="E38" s="1084"/>
      <c r="F38" s="1084"/>
      <c r="G38" s="1049"/>
      <c r="H38" s="1084"/>
      <c r="I38" s="1084"/>
      <c r="J38" s="1084"/>
      <c r="K38" s="1084"/>
      <c r="L38" s="1084"/>
      <c r="M38" s="1084"/>
      <c r="N38" s="1084"/>
      <c r="O38" s="1084"/>
      <c r="P38" s="1084"/>
      <c r="Q38" s="1084"/>
    </row>
    <row r="39" spans="1:17" ht="25.5">
      <c r="A39" s="963"/>
      <c r="B39" s="945" t="s">
        <v>737</v>
      </c>
      <c r="C39" s="1050" t="s">
        <v>738</v>
      </c>
      <c r="D39" s="1051" t="s">
        <v>128</v>
      </c>
      <c r="E39" s="1084" t="s">
        <v>873</v>
      </c>
      <c r="F39" s="1052" t="s">
        <v>848</v>
      </c>
      <c r="G39" s="1053" t="s">
        <v>219</v>
      </c>
      <c r="H39" s="1017"/>
      <c r="I39" s="1017"/>
      <c r="J39" s="1017"/>
      <c r="K39" s="1017"/>
      <c r="L39" s="1017"/>
      <c r="M39" s="1017"/>
      <c r="N39" s="1017"/>
      <c r="O39" s="1017"/>
      <c r="P39" s="1084"/>
      <c r="Q39" s="1084"/>
    </row>
    <row r="40" spans="1:17" ht="30" customHeight="1">
      <c r="A40" s="963"/>
      <c r="B40" s="1048"/>
      <c r="C40" s="1084"/>
      <c r="D40" s="1051" t="s">
        <v>916</v>
      </c>
      <c r="E40" s="1084"/>
      <c r="F40" s="1051" t="s">
        <v>874</v>
      </c>
      <c r="G40" s="1054" t="s">
        <v>875</v>
      </c>
      <c r="H40" s="1084"/>
      <c r="I40" s="1084"/>
      <c r="J40" s="1084"/>
      <c r="K40" s="1084"/>
      <c r="L40" s="1084"/>
      <c r="M40" s="1084"/>
      <c r="N40" s="1084"/>
      <c r="O40" s="1084"/>
      <c r="P40" s="1084"/>
      <c r="Q40" s="1084"/>
    </row>
    <row r="41" spans="1:17">
      <c r="A41" s="963">
        <v>21</v>
      </c>
      <c r="B41" s="1046" t="s">
        <v>59</v>
      </c>
      <c r="C41" s="1041" t="s">
        <v>760</v>
      </c>
      <c r="D41" s="838">
        <f>+'6A-Project True-up'!H18+'6A-Project True-up'!I18</f>
        <v>0</v>
      </c>
      <c r="E41" s="838">
        <v>17</v>
      </c>
      <c r="F41" s="1056" t="e">
        <f>+E26</f>
        <v>#DIV/0!</v>
      </c>
      <c r="G41" s="1064" t="e">
        <f>+D41*E41*F41</f>
        <v>#DIV/0!</v>
      </c>
      <c r="H41" s="1055"/>
      <c r="I41" s="837"/>
      <c r="J41" s="837"/>
      <c r="K41" s="837"/>
      <c r="L41" s="837"/>
      <c r="M41" s="1017"/>
      <c r="N41" s="1017"/>
      <c r="O41" s="1017"/>
      <c r="P41" s="1017"/>
      <c r="Q41" s="1017"/>
    </row>
    <row r="42" spans="1:17">
      <c r="A42" s="963" t="s">
        <v>876</v>
      </c>
      <c r="B42" s="1058"/>
      <c r="C42" s="1058">
        <f>+'6A-Project True-up'!C19</f>
        <v>0</v>
      </c>
      <c r="D42" s="838">
        <f>+'6A-Project True-up'!H19+'6A-Project True-up'!I19</f>
        <v>0</v>
      </c>
      <c r="E42" s="838">
        <v>17</v>
      </c>
      <c r="F42" s="1056" t="e">
        <f>+F41</f>
        <v>#DIV/0!</v>
      </c>
      <c r="G42" s="1064" t="e">
        <f>+D42*E42*F42</f>
        <v>#DIV/0!</v>
      </c>
      <c r="H42" s="1055"/>
      <c r="I42" s="1041"/>
      <c r="J42" s="1055"/>
      <c r="K42" s="837"/>
      <c r="L42" s="837"/>
      <c r="M42" s="1017"/>
      <c r="N42" s="1017"/>
      <c r="O42" s="1017"/>
      <c r="P42" s="901"/>
      <c r="Q42" s="1060"/>
    </row>
    <row r="43" spans="1:17">
      <c r="A43" s="963" t="s">
        <v>877</v>
      </c>
      <c r="B43" s="1058"/>
      <c r="C43" s="1058">
        <f>+'6A-Project True-up'!C20</f>
        <v>0</v>
      </c>
      <c r="D43" s="838">
        <f>+'6A-Project True-up'!H20+'6A-Project True-up'!I20</f>
        <v>0</v>
      </c>
      <c r="E43" s="838">
        <v>17</v>
      </c>
      <c r="F43" s="1056" t="e">
        <f t="shared" ref="F43:F60" si="0">+F42</f>
        <v>#DIV/0!</v>
      </c>
      <c r="G43" s="1064" t="e">
        <f t="shared" ref="G43:G50" si="1">+D43*E43*F43</f>
        <v>#DIV/0!</v>
      </c>
      <c r="H43" s="1055"/>
      <c r="I43" s="1041"/>
      <c r="J43" s="1055"/>
      <c r="K43" s="837"/>
      <c r="L43" s="837"/>
      <c r="M43" s="1017"/>
      <c r="N43" s="1017"/>
      <c r="O43" s="1017"/>
      <c r="P43" s="901"/>
      <c r="Q43" s="1060"/>
    </row>
    <row r="44" spans="1:17">
      <c r="A44" s="963" t="s">
        <v>878</v>
      </c>
      <c r="B44" s="1058"/>
      <c r="C44" s="1058">
        <f>+'6A-Project True-up'!C21</f>
        <v>0</v>
      </c>
      <c r="D44" s="838">
        <f>+'6A-Project True-up'!H21+'6A-Project True-up'!I21</f>
        <v>0</v>
      </c>
      <c r="E44" s="838">
        <v>17</v>
      </c>
      <c r="F44" s="1056" t="e">
        <f t="shared" si="0"/>
        <v>#DIV/0!</v>
      </c>
      <c r="G44" s="1064" t="e">
        <f t="shared" si="1"/>
        <v>#DIV/0!</v>
      </c>
      <c r="H44" s="1055"/>
      <c r="I44" s="1041"/>
      <c r="J44" s="1055"/>
      <c r="K44" s="837"/>
      <c r="L44" s="837"/>
      <c r="M44" s="1017"/>
      <c r="N44" s="1017"/>
      <c r="O44" s="1017"/>
      <c r="P44" s="901"/>
      <c r="Q44" s="1060"/>
    </row>
    <row r="45" spans="1:17">
      <c r="A45" s="963" t="s">
        <v>894</v>
      </c>
      <c r="B45" s="1058"/>
      <c r="C45" s="1058">
        <f>+'6A-Project True-up'!C22</f>
        <v>0</v>
      </c>
      <c r="D45" s="838">
        <f>+'6A-Project True-up'!H22+'6A-Project True-up'!I22</f>
        <v>0</v>
      </c>
      <c r="E45" s="838">
        <v>17</v>
      </c>
      <c r="F45" s="1056" t="e">
        <f t="shared" si="0"/>
        <v>#DIV/0!</v>
      </c>
      <c r="G45" s="1064" t="e">
        <f t="shared" si="1"/>
        <v>#DIV/0!</v>
      </c>
      <c r="H45" s="1055"/>
      <c r="I45" s="1041"/>
      <c r="J45" s="1055"/>
      <c r="K45" s="837"/>
      <c r="L45" s="837"/>
      <c r="M45" s="1017"/>
      <c r="N45" s="1017"/>
      <c r="O45" s="1017"/>
      <c r="P45" s="901"/>
      <c r="Q45" s="1060"/>
    </row>
    <row r="46" spans="1:17">
      <c r="A46" s="963" t="s">
        <v>895</v>
      </c>
      <c r="B46" s="1058"/>
      <c r="C46" s="1058">
        <f>+'6A-Project True-up'!C23</f>
        <v>0</v>
      </c>
      <c r="D46" s="838">
        <f>+'6A-Project True-up'!H23+'6A-Project True-up'!I23</f>
        <v>0</v>
      </c>
      <c r="E46" s="838">
        <v>17</v>
      </c>
      <c r="F46" s="1056" t="e">
        <f t="shared" si="0"/>
        <v>#DIV/0!</v>
      </c>
      <c r="G46" s="1064" t="e">
        <f t="shared" si="1"/>
        <v>#DIV/0!</v>
      </c>
      <c r="H46" s="1055"/>
      <c r="I46" s="1041"/>
      <c r="J46" s="1055"/>
      <c r="K46" s="837"/>
      <c r="L46" s="837"/>
      <c r="M46" s="1017"/>
      <c r="N46" s="1017"/>
      <c r="O46" s="1017"/>
      <c r="P46" s="901"/>
      <c r="Q46" s="1060"/>
    </row>
    <row r="47" spans="1:17">
      <c r="A47" s="963" t="s">
        <v>896</v>
      </c>
      <c r="B47" s="1058"/>
      <c r="C47" s="1058">
        <f>+'6A-Project True-up'!C24</f>
        <v>0</v>
      </c>
      <c r="D47" s="838">
        <f>+'6A-Project True-up'!H24+'6A-Project True-up'!I24</f>
        <v>0</v>
      </c>
      <c r="E47" s="838">
        <v>17</v>
      </c>
      <c r="F47" s="1056" t="e">
        <f t="shared" si="0"/>
        <v>#DIV/0!</v>
      </c>
      <c r="G47" s="1064" t="e">
        <f t="shared" si="1"/>
        <v>#DIV/0!</v>
      </c>
      <c r="H47" s="1055"/>
      <c r="I47" s="1041"/>
      <c r="J47" s="1055"/>
      <c r="K47" s="837"/>
      <c r="L47" s="837"/>
      <c r="M47" s="1017"/>
      <c r="N47" s="1017"/>
      <c r="O47" s="1017"/>
      <c r="P47" s="901"/>
      <c r="Q47" s="1060"/>
    </row>
    <row r="48" spans="1:17">
      <c r="A48" s="963" t="s">
        <v>897</v>
      </c>
      <c r="B48" s="1058"/>
      <c r="C48" s="1058">
        <f>+'6A-Project True-up'!C25</f>
        <v>0</v>
      </c>
      <c r="D48" s="838">
        <f>+'6A-Project True-up'!H25+'6A-Project True-up'!I25</f>
        <v>0</v>
      </c>
      <c r="E48" s="838">
        <v>17</v>
      </c>
      <c r="F48" s="1056" t="e">
        <f t="shared" si="0"/>
        <v>#DIV/0!</v>
      </c>
      <c r="G48" s="1064" t="e">
        <f t="shared" si="1"/>
        <v>#DIV/0!</v>
      </c>
      <c r="H48" s="1055"/>
      <c r="I48" s="1041"/>
      <c r="J48" s="1055"/>
      <c r="K48" s="837"/>
      <c r="L48" s="837"/>
      <c r="M48" s="1017"/>
      <c r="N48" s="1017"/>
      <c r="O48" s="1017"/>
      <c r="P48" s="901"/>
      <c r="Q48" s="1060"/>
    </row>
    <row r="49" spans="1:17">
      <c r="A49" s="963" t="s">
        <v>898</v>
      </c>
      <c r="B49" s="1058"/>
      <c r="C49" s="1058">
        <f>+'6A-Project True-up'!C26</f>
        <v>0</v>
      </c>
      <c r="D49" s="838">
        <f>+'6A-Project True-up'!H26+'6A-Project True-up'!I26</f>
        <v>0</v>
      </c>
      <c r="E49" s="838">
        <v>17</v>
      </c>
      <c r="F49" s="1056" t="e">
        <f t="shared" si="0"/>
        <v>#DIV/0!</v>
      </c>
      <c r="G49" s="1064" t="e">
        <f t="shared" si="1"/>
        <v>#DIV/0!</v>
      </c>
      <c r="H49" s="1055"/>
      <c r="I49" s="1041"/>
      <c r="J49" s="1055"/>
      <c r="K49" s="837"/>
      <c r="L49" s="837"/>
      <c r="M49" s="1017"/>
      <c r="N49" s="1017"/>
      <c r="O49" s="1017"/>
      <c r="P49" s="901"/>
      <c r="Q49" s="1060"/>
    </row>
    <row r="50" spans="1:17">
      <c r="A50" s="963" t="s">
        <v>899</v>
      </c>
      <c r="B50" s="1058"/>
      <c r="C50" s="1058">
        <f>+'6A-Project True-up'!C27</f>
        <v>0</v>
      </c>
      <c r="D50" s="838">
        <f>+'6A-Project True-up'!H27+'6A-Project True-up'!I27</f>
        <v>0</v>
      </c>
      <c r="E50" s="838">
        <v>17</v>
      </c>
      <c r="F50" s="1056" t="e">
        <f t="shared" si="0"/>
        <v>#DIV/0!</v>
      </c>
      <c r="G50" s="1064" t="e">
        <f t="shared" si="1"/>
        <v>#DIV/0!</v>
      </c>
      <c r="H50" s="1055"/>
      <c r="I50" s="1041"/>
      <c r="J50" s="1055"/>
      <c r="K50" s="837"/>
      <c r="L50" s="837"/>
      <c r="M50" s="1017"/>
      <c r="N50" s="1017"/>
      <c r="O50" s="1017"/>
      <c r="P50" s="901"/>
      <c r="Q50" s="1060"/>
    </row>
    <row r="51" spans="1:17">
      <c r="A51" s="963" t="s">
        <v>900</v>
      </c>
      <c r="B51" s="1058"/>
      <c r="C51" s="1058">
        <f>+'6A-Project True-up'!C28</f>
        <v>0</v>
      </c>
      <c r="D51" s="838">
        <f>+'6A-Project True-up'!H28+'6A-Project True-up'!I28</f>
        <v>0</v>
      </c>
      <c r="E51" s="838">
        <v>17</v>
      </c>
      <c r="F51" s="1056" t="e">
        <f t="shared" si="0"/>
        <v>#DIV/0!</v>
      </c>
      <c r="G51" s="1064" t="e">
        <f t="shared" ref="G51:G58" si="2">+D51*E51*F51</f>
        <v>#DIV/0!</v>
      </c>
      <c r="H51" s="1055"/>
      <c r="I51" s="1041"/>
      <c r="J51" s="1055"/>
      <c r="K51" s="837"/>
      <c r="L51" s="837"/>
      <c r="M51" s="1017"/>
      <c r="N51" s="1017"/>
      <c r="O51" s="1017"/>
      <c r="P51" s="901"/>
      <c r="Q51" s="1060"/>
    </row>
    <row r="52" spans="1:17">
      <c r="A52" s="963" t="s">
        <v>901</v>
      </c>
      <c r="B52" s="1058"/>
      <c r="C52" s="1058">
        <f>+'6A-Project True-up'!C29</f>
        <v>0</v>
      </c>
      <c r="D52" s="838">
        <f>+'6A-Project True-up'!H29+'6A-Project True-up'!I29</f>
        <v>0</v>
      </c>
      <c r="E52" s="838">
        <v>17</v>
      </c>
      <c r="F52" s="1056" t="e">
        <f t="shared" si="0"/>
        <v>#DIV/0!</v>
      </c>
      <c r="G52" s="1064" t="e">
        <f t="shared" si="2"/>
        <v>#DIV/0!</v>
      </c>
      <c r="H52" s="1055"/>
      <c r="I52" s="1041"/>
      <c r="J52" s="1055"/>
      <c r="K52" s="837"/>
      <c r="L52" s="837"/>
      <c r="M52" s="1017"/>
      <c r="N52" s="1017"/>
      <c r="O52" s="1017"/>
      <c r="P52" s="901"/>
      <c r="Q52" s="1060"/>
    </row>
    <row r="53" spans="1:17">
      <c r="A53" s="963" t="s">
        <v>902</v>
      </c>
      <c r="B53" s="1058"/>
      <c r="C53" s="1058">
        <f>+'6A-Project True-up'!C30</f>
        <v>0</v>
      </c>
      <c r="D53" s="838">
        <f>+'6A-Project True-up'!H30+'6A-Project True-up'!I30</f>
        <v>0</v>
      </c>
      <c r="E53" s="838">
        <v>17</v>
      </c>
      <c r="F53" s="1056" t="e">
        <f t="shared" si="0"/>
        <v>#DIV/0!</v>
      </c>
      <c r="G53" s="1064" t="e">
        <f t="shared" si="2"/>
        <v>#DIV/0!</v>
      </c>
      <c r="H53" s="1055"/>
      <c r="I53" s="1041"/>
      <c r="J53" s="1055"/>
      <c r="K53" s="837"/>
      <c r="L53" s="837"/>
      <c r="M53" s="1017"/>
      <c r="N53" s="1017"/>
      <c r="O53" s="1017"/>
      <c r="P53" s="901"/>
      <c r="Q53" s="1060"/>
    </row>
    <row r="54" spans="1:17">
      <c r="A54" s="963" t="s">
        <v>903</v>
      </c>
      <c r="B54" s="1058"/>
      <c r="C54" s="1058">
        <f>+'6A-Project True-up'!C31</f>
        <v>0</v>
      </c>
      <c r="D54" s="838">
        <f>+'6A-Project True-up'!H31+'6A-Project True-up'!I31</f>
        <v>0</v>
      </c>
      <c r="E54" s="838">
        <v>17</v>
      </c>
      <c r="F54" s="1056" t="e">
        <f t="shared" si="0"/>
        <v>#DIV/0!</v>
      </c>
      <c r="G54" s="1064" t="e">
        <f t="shared" si="2"/>
        <v>#DIV/0!</v>
      </c>
      <c r="H54" s="1055"/>
      <c r="I54" s="1041"/>
      <c r="J54" s="1055"/>
      <c r="K54" s="837"/>
      <c r="L54" s="837"/>
      <c r="M54" s="1017"/>
      <c r="N54" s="1017"/>
      <c r="O54" s="1017"/>
      <c r="P54" s="901"/>
      <c r="Q54" s="1060"/>
    </row>
    <row r="55" spans="1:17">
      <c r="A55" s="963" t="s">
        <v>904</v>
      </c>
      <c r="B55" s="1058"/>
      <c r="C55" s="1058">
        <f>+'6A-Project True-up'!C32</f>
        <v>0</v>
      </c>
      <c r="D55" s="838">
        <f>+'6A-Project True-up'!H32+'6A-Project True-up'!I32</f>
        <v>0</v>
      </c>
      <c r="E55" s="838">
        <v>17</v>
      </c>
      <c r="F55" s="1056" t="e">
        <f t="shared" si="0"/>
        <v>#DIV/0!</v>
      </c>
      <c r="G55" s="1064" t="e">
        <f t="shared" si="2"/>
        <v>#DIV/0!</v>
      </c>
      <c r="H55" s="1055"/>
      <c r="I55" s="1041"/>
      <c r="J55" s="1055"/>
      <c r="K55" s="837"/>
      <c r="L55" s="837"/>
      <c r="M55" s="1017"/>
      <c r="N55" s="1017"/>
      <c r="O55" s="1017"/>
      <c r="P55" s="901"/>
      <c r="Q55" s="1060"/>
    </row>
    <row r="56" spans="1:17">
      <c r="A56" s="963" t="s">
        <v>905</v>
      </c>
      <c r="B56" s="1058"/>
      <c r="C56" s="1058">
        <f>+'6A-Project True-up'!C33</f>
        <v>0</v>
      </c>
      <c r="D56" s="838">
        <f>+'6A-Project True-up'!H33+'6A-Project True-up'!I33</f>
        <v>0</v>
      </c>
      <c r="E56" s="838">
        <v>17</v>
      </c>
      <c r="F56" s="1056" t="e">
        <f t="shared" si="0"/>
        <v>#DIV/0!</v>
      </c>
      <c r="G56" s="1064" t="e">
        <f t="shared" si="2"/>
        <v>#DIV/0!</v>
      </c>
      <c r="H56" s="1055"/>
      <c r="I56" s="1041"/>
      <c r="J56" s="1055"/>
      <c r="K56" s="837"/>
      <c r="L56" s="837"/>
      <c r="M56" s="1017"/>
      <c r="N56" s="1017"/>
      <c r="O56" s="1017"/>
      <c r="P56" s="901"/>
      <c r="Q56" s="1060"/>
    </row>
    <row r="57" spans="1:17">
      <c r="A57" s="963" t="s">
        <v>906</v>
      </c>
      <c r="B57" s="1058"/>
      <c r="C57" s="1058">
        <f>+'6A-Project True-up'!C34</f>
        <v>0</v>
      </c>
      <c r="D57" s="838">
        <f>+'6A-Project True-up'!H34+'6A-Project True-up'!I34</f>
        <v>0</v>
      </c>
      <c r="E57" s="838">
        <v>17</v>
      </c>
      <c r="F57" s="1056" t="e">
        <f t="shared" si="0"/>
        <v>#DIV/0!</v>
      </c>
      <c r="G57" s="1064" t="e">
        <f t="shared" si="2"/>
        <v>#DIV/0!</v>
      </c>
      <c r="H57" s="1055"/>
      <c r="I57" s="1041"/>
      <c r="J57" s="1055"/>
      <c r="K57" s="837"/>
      <c r="L57" s="837"/>
      <c r="M57" s="1017"/>
      <c r="N57" s="1017"/>
      <c r="O57" s="1017"/>
      <c r="P57" s="901"/>
      <c r="Q57" s="1060"/>
    </row>
    <row r="58" spans="1:17">
      <c r="A58" s="963" t="s">
        <v>1538</v>
      </c>
      <c r="B58" s="1058"/>
      <c r="C58" s="1058">
        <f>+'6A-Project True-up'!C35</f>
        <v>0</v>
      </c>
      <c r="D58" s="838">
        <f>+'6A-Project True-up'!H35+'6A-Project True-up'!I35</f>
        <v>0</v>
      </c>
      <c r="E58" s="838">
        <v>17</v>
      </c>
      <c r="F58" s="1056" t="e">
        <f t="shared" si="0"/>
        <v>#DIV/0!</v>
      </c>
      <c r="G58" s="1064" t="e">
        <f t="shared" si="2"/>
        <v>#DIV/0!</v>
      </c>
      <c r="H58" s="1055"/>
      <c r="I58" s="1017"/>
      <c r="J58" s="1017"/>
      <c r="K58" s="837"/>
      <c r="L58" s="837"/>
      <c r="M58" s="1017"/>
      <c r="N58" s="1017"/>
      <c r="O58" s="1017"/>
      <c r="P58" s="901"/>
      <c r="Q58" s="1060"/>
    </row>
    <row r="59" spans="1:17">
      <c r="A59" s="963" t="s">
        <v>1572</v>
      </c>
      <c r="B59" s="1058"/>
      <c r="C59" s="1058">
        <f>+'6A-Project True-up'!B36</f>
        <v>0</v>
      </c>
      <c r="D59" s="838">
        <f>+'6A-Project True-up'!H36+'6A-Project True-up'!I36</f>
        <v>0</v>
      </c>
      <c r="E59" s="838">
        <v>17</v>
      </c>
      <c r="F59" s="1056" t="e">
        <f t="shared" si="0"/>
        <v>#DIV/0!</v>
      </c>
      <c r="G59" s="1064" t="e">
        <f t="shared" ref="G59" si="3">+D59*E59*F59</f>
        <v>#DIV/0!</v>
      </c>
      <c r="H59" s="1055"/>
      <c r="I59" s="1017"/>
      <c r="J59" s="1017"/>
      <c r="K59" s="837"/>
      <c r="L59" s="837"/>
      <c r="M59" s="1017"/>
      <c r="N59" s="1017"/>
      <c r="O59" s="1017"/>
      <c r="P59" s="901"/>
      <c r="Q59" s="1060"/>
    </row>
    <row r="60" spans="1:17">
      <c r="A60" s="963" t="s">
        <v>1573</v>
      </c>
      <c r="B60" s="1058"/>
      <c r="C60" s="1058">
        <f>+'6A-Project True-up'!B37</f>
        <v>0</v>
      </c>
      <c r="D60" s="838">
        <f>+'6A-Project True-up'!H37+'6A-Project True-up'!I37</f>
        <v>0</v>
      </c>
      <c r="E60" s="838">
        <v>18</v>
      </c>
      <c r="F60" s="1056" t="e">
        <f t="shared" si="0"/>
        <v>#DIV/0!</v>
      </c>
      <c r="G60" s="1064" t="e">
        <f t="shared" ref="G60" si="4">+D60*E60*F60</f>
        <v>#DIV/0!</v>
      </c>
      <c r="H60" s="1055"/>
      <c r="I60" s="1017"/>
      <c r="J60" s="1017"/>
      <c r="K60" s="837"/>
      <c r="L60" s="837"/>
      <c r="M60" s="1017"/>
      <c r="N60" s="1017"/>
      <c r="O60" s="1017"/>
      <c r="P60" s="901"/>
      <c r="Q60" s="1060"/>
    </row>
    <row r="61" spans="1:17">
      <c r="A61" s="963" t="s">
        <v>1574</v>
      </c>
      <c r="B61" s="1058"/>
      <c r="C61" s="1058"/>
      <c r="D61" s="1055"/>
      <c r="E61" s="838"/>
      <c r="F61" s="1056"/>
      <c r="G61" s="1064"/>
      <c r="H61" s="1055"/>
      <c r="K61" s="837"/>
      <c r="L61" s="837"/>
      <c r="M61" s="1017"/>
      <c r="N61" s="1017"/>
      <c r="O61" s="1017"/>
      <c r="P61" s="901"/>
      <c r="Q61" s="1060"/>
    </row>
    <row r="62" spans="1:17">
      <c r="A62" s="963"/>
      <c r="B62" s="1058"/>
      <c r="C62" s="1058"/>
      <c r="D62" s="1055"/>
      <c r="E62" s="838"/>
      <c r="F62" s="1056"/>
      <c r="G62" s="1057"/>
      <c r="H62" s="1055"/>
      <c r="K62" s="837"/>
      <c r="L62" s="837"/>
      <c r="M62" s="1017"/>
      <c r="N62" s="1017"/>
      <c r="O62" s="1017"/>
      <c r="P62" s="901"/>
      <c r="Q62" s="1060"/>
    </row>
    <row r="63" spans="1:17">
      <c r="A63" s="963"/>
      <c r="B63" s="1058"/>
      <c r="C63" s="1058"/>
      <c r="D63" s="1055"/>
      <c r="E63" s="838"/>
      <c r="F63" s="1056"/>
      <c r="G63" s="1057"/>
      <c r="H63" s="1055"/>
      <c r="K63" s="837"/>
      <c r="L63" s="837"/>
      <c r="M63" s="1017"/>
      <c r="N63" s="1017"/>
      <c r="O63" s="1017"/>
      <c r="P63" s="901"/>
      <c r="Q63" s="1060"/>
    </row>
    <row r="64" spans="1:17">
      <c r="A64" s="963"/>
      <c r="B64" s="1058"/>
      <c r="C64" s="1058"/>
      <c r="D64" s="1055"/>
      <c r="E64" s="838"/>
      <c r="F64" s="1056"/>
      <c r="G64" s="1057"/>
      <c r="H64" s="1055"/>
      <c r="K64" s="837"/>
      <c r="L64" s="837"/>
      <c r="M64" s="1017"/>
      <c r="N64" s="1017"/>
      <c r="O64" s="1017"/>
      <c r="P64" s="901"/>
      <c r="Q64" s="1060"/>
    </row>
    <row r="65" spans="1:17">
      <c r="A65" s="963"/>
      <c r="B65" s="1058"/>
      <c r="C65" s="1058"/>
      <c r="D65" s="1055"/>
      <c r="E65" s="838"/>
      <c r="F65" s="1056"/>
      <c r="G65" s="1057"/>
      <c r="H65" s="1055"/>
      <c r="K65" s="837"/>
      <c r="L65" s="837"/>
      <c r="M65" s="1017"/>
      <c r="N65" s="1017"/>
      <c r="O65" s="1017"/>
      <c r="P65" s="901"/>
      <c r="Q65" s="1060"/>
    </row>
    <row r="66" spans="1:17">
      <c r="A66" s="963"/>
      <c r="B66" s="1499"/>
      <c r="C66" s="1059"/>
      <c r="D66" s="1055"/>
      <c r="E66" s="838"/>
      <c r="F66" s="1056"/>
      <c r="G66" s="1057"/>
      <c r="H66" s="1055"/>
      <c r="K66" s="837"/>
      <c r="L66" s="837"/>
      <c r="M66" s="1017"/>
      <c r="N66" s="1017"/>
      <c r="O66" s="1017"/>
      <c r="P66" s="901"/>
      <c r="Q66" s="1060"/>
    </row>
    <row r="67" spans="1:17">
      <c r="A67" s="963"/>
      <c r="B67" s="1499"/>
      <c r="C67" s="938"/>
      <c r="D67" s="1055"/>
      <c r="E67" s="838"/>
      <c r="F67" s="1056"/>
      <c r="G67" s="1057"/>
      <c r="H67" s="1055"/>
      <c r="K67" s="837"/>
      <c r="L67" s="837"/>
      <c r="M67" s="1017"/>
      <c r="N67" s="1017"/>
      <c r="O67" s="1017"/>
      <c r="P67" s="901"/>
      <c r="Q67" s="1060"/>
    </row>
    <row r="68" spans="1:17">
      <c r="A68" s="963"/>
      <c r="B68" s="1499"/>
      <c r="C68" s="938"/>
      <c r="D68" s="1055"/>
      <c r="E68" s="838"/>
      <c r="F68" s="1056"/>
      <c r="G68" s="1057"/>
      <c r="H68" s="1055"/>
      <c r="K68" s="837"/>
      <c r="L68" s="837"/>
      <c r="M68" s="1017"/>
      <c r="N68" s="1017"/>
      <c r="O68" s="1017"/>
      <c r="P68" s="901"/>
      <c r="Q68" s="1060"/>
    </row>
    <row r="69" spans="1:17">
      <c r="A69" s="963"/>
      <c r="B69" s="1499"/>
      <c r="C69" s="1059"/>
      <c r="D69" s="1055"/>
      <c r="E69" s="838"/>
      <c r="F69" s="1056"/>
      <c r="G69" s="1057"/>
      <c r="H69" s="1055"/>
      <c r="K69" s="837"/>
      <c r="L69" s="837"/>
      <c r="M69" s="1017"/>
      <c r="N69" s="1017"/>
      <c r="O69" s="1017"/>
      <c r="P69" s="901"/>
      <c r="Q69" s="1060"/>
    </row>
    <row r="70" spans="1:17">
      <c r="A70" s="963"/>
      <c r="B70" s="1500" t="s">
        <v>59</v>
      </c>
      <c r="C70" s="1061"/>
      <c r="D70" s="1065">
        <f>SUM(D41:D69)</f>
        <v>0</v>
      </c>
      <c r="E70" s="1062"/>
      <c r="F70" s="1062"/>
      <c r="G70" s="1066" t="e">
        <f>SUM(G41:G69)</f>
        <v>#DIV/0!</v>
      </c>
      <c r="H70" s="1055"/>
      <c r="K70" s="837"/>
      <c r="L70" s="837"/>
      <c r="M70" s="1017"/>
      <c r="N70" s="1017"/>
      <c r="O70" s="1017"/>
      <c r="P70" s="901"/>
      <c r="Q70" s="1060"/>
    </row>
    <row r="71" spans="1:17">
      <c r="A71" s="963"/>
      <c r="B71" s="1041"/>
      <c r="C71" s="1041"/>
      <c r="D71" s="1042"/>
      <c r="E71" s="1063"/>
      <c r="F71" s="1041"/>
      <c r="G71" s="1063"/>
      <c r="H71" s="1042"/>
      <c r="K71" s="1041"/>
      <c r="L71" s="1041"/>
      <c r="M71" s="1017"/>
      <c r="N71" s="1017"/>
      <c r="O71" s="1017"/>
      <c r="P71" s="901"/>
      <c r="Q71" s="1017"/>
    </row>
    <row r="72" spans="1:17">
      <c r="A72" s="963"/>
      <c r="B72" s="1040"/>
      <c r="C72" s="1040"/>
      <c r="D72" s="1055"/>
      <c r="E72" s="1055"/>
      <c r="F72" s="1055"/>
      <c r="G72" s="1055"/>
      <c r="H72" s="1055"/>
      <c r="K72" s="1055"/>
      <c r="L72" s="1055"/>
      <c r="M72" s="1017"/>
      <c r="N72" s="1017"/>
      <c r="O72" s="1017"/>
      <c r="P72" s="1017"/>
      <c r="Q72" s="1017"/>
    </row>
    <row r="73" spans="1:17">
      <c r="A73" s="963"/>
      <c r="B73" s="1040"/>
      <c r="C73" s="1040"/>
      <c r="D73" s="994"/>
      <c r="E73" s="994"/>
      <c r="F73" s="994"/>
      <c r="G73" s="994"/>
      <c r="H73" s="994"/>
      <c r="K73" s="994"/>
      <c r="L73" s="994"/>
    </row>
    <row r="74" spans="1:17">
      <c r="A74" s="963"/>
      <c r="B74" s="1040"/>
      <c r="C74" s="1040"/>
      <c r="D74" s="994"/>
      <c r="E74" s="994"/>
      <c r="F74" s="994"/>
      <c r="G74" s="994"/>
      <c r="H74" s="994"/>
      <c r="K74" s="994"/>
      <c r="L74" s="994"/>
    </row>
    <row r="75" spans="1:17">
      <c r="A75" s="963"/>
      <c r="B75" s="1040"/>
      <c r="C75" s="1040"/>
      <c r="D75" s="994"/>
      <c r="E75" s="994"/>
      <c r="F75" s="994"/>
      <c r="G75" s="994"/>
      <c r="H75" s="994"/>
      <c r="K75" s="994"/>
      <c r="L75" s="994"/>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8"/>
  <sheetViews>
    <sheetView topLeftCell="J138" zoomScaleNormal="100" zoomScaleSheetLayoutView="50" workbookViewId="0">
      <selection activeCell="J164" sqref="J164"/>
    </sheetView>
  </sheetViews>
  <sheetFormatPr defaultRowHeight="15"/>
  <cols>
    <col min="1" max="1" width="9.28515625" bestFit="1" customWidth="1"/>
    <col min="2" max="2" width="27.5703125" customWidth="1"/>
    <col min="3" max="3" width="15.140625" customWidth="1"/>
    <col min="4" max="4" width="13" style="3" customWidth="1"/>
    <col min="5" max="5" width="13.42578125" customWidth="1"/>
    <col min="6" max="6" width="12.7109375" customWidth="1"/>
    <col min="7" max="7" width="13.42578125" bestFit="1" customWidth="1"/>
    <col min="8" max="8" width="17.85546875" style="13" customWidth="1"/>
    <col min="9" max="9" width="13.42578125" customWidth="1"/>
    <col min="10" max="11" width="12.7109375" customWidth="1"/>
    <col min="12" max="12" width="17.42578125" style="13"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8" width="12.42578125" style="1468" customWidth="1"/>
    <col min="69" max="70" width="12.28515625" style="1468" customWidth="1"/>
    <col min="71" max="71" width="12.85546875" style="1468" customWidth="1"/>
    <col min="72" max="72" width="12.42578125" style="1468" customWidth="1"/>
    <col min="73" max="74" width="12.28515625" customWidth="1"/>
    <col min="75" max="75" width="12.85546875" customWidth="1"/>
    <col min="76" max="76" width="12.42578125" customWidth="1"/>
    <col min="77" max="78" width="12.28515625" customWidth="1"/>
    <col min="79" max="79" width="12.85546875" customWidth="1"/>
    <col min="80" max="80" width="12.42578125" customWidth="1"/>
    <col min="81" max="81" width="14.42578125" bestFit="1" customWidth="1"/>
    <col min="82" max="82" width="21.85546875" customWidth="1"/>
    <col min="83" max="83" width="18.42578125" customWidth="1"/>
    <col min="84" max="85" width="12.28515625" bestFit="1" customWidth="1"/>
    <col min="86" max="86" width="14" customWidth="1"/>
    <col min="87" max="87" width="12.28515625" customWidth="1"/>
    <col min="88" max="88" width="12.85546875" bestFit="1" customWidth="1"/>
    <col min="89" max="89" width="13" customWidth="1"/>
    <col min="90" max="90" width="12.85546875" bestFit="1" customWidth="1"/>
  </cols>
  <sheetData>
    <row r="1" spans="1:83" ht="18">
      <c r="C1" s="9" t="s">
        <v>344</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476"/>
      <c r="BJ1" s="1476"/>
      <c r="BK1" s="1476"/>
      <c r="BL1" s="1476"/>
      <c r="BM1" s="1476"/>
      <c r="BN1" s="1476"/>
      <c r="BO1" s="1476"/>
      <c r="BP1" s="1476"/>
      <c r="BQ1" s="1476"/>
      <c r="BR1" s="1476"/>
      <c r="BS1" s="1476"/>
      <c r="BT1" s="1476"/>
      <c r="BU1" s="11"/>
      <c r="BV1" s="11"/>
      <c r="BW1" s="11"/>
      <c r="BX1" s="11"/>
      <c r="BY1" s="11"/>
      <c r="BZ1" s="11"/>
      <c r="CA1" s="11"/>
      <c r="CB1" s="11"/>
      <c r="CC1" s="11"/>
      <c r="CD1" s="11"/>
      <c r="CE1" s="11"/>
    </row>
    <row r="3" spans="1:83" ht="15.7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552</v>
      </c>
      <c r="H12" s="16"/>
      <c r="I12" s="17">
        <f>+'ATT H-9A'!H307</f>
        <v>0.10963186411123545</v>
      </c>
      <c r="K12" s="18"/>
      <c r="L12" s="16"/>
    </row>
    <row r="13" spans="1:83">
      <c r="A13">
        <v>5</v>
      </c>
      <c r="C13" s="3" t="s">
        <v>10</v>
      </c>
      <c r="D13" s="3">
        <v>167</v>
      </c>
      <c r="E13" s="15" t="s">
        <v>560</v>
      </c>
      <c r="H13" s="16"/>
      <c r="I13" s="17">
        <f>+'ATT H-9A'!H317</f>
        <v>0.11521302601841456</v>
      </c>
      <c r="K13" s="18"/>
      <c r="L13" s="16"/>
    </row>
    <row r="14" spans="1:83">
      <c r="A14">
        <v>6</v>
      </c>
      <c r="C14" s="3" t="s">
        <v>11</v>
      </c>
      <c r="E14" t="s">
        <v>12</v>
      </c>
      <c r="H14" s="16"/>
      <c r="I14" s="17">
        <f>+I13-I12</f>
        <v>5.5811619071791108E-3</v>
      </c>
      <c r="K14" s="18"/>
      <c r="L14" s="16"/>
    </row>
    <row r="15" spans="1:83">
      <c r="H15" s="16"/>
      <c r="I15" s="17"/>
      <c r="L15" s="16"/>
    </row>
    <row r="16" spans="1:83">
      <c r="A16">
        <v>7</v>
      </c>
      <c r="C16" s="14" t="s">
        <v>13</v>
      </c>
      <c r="H16" s="16"/>
      <c r="L16" s="16"/>
    </row>
    <row r="17" spans="1:98">
      <c r="C17" s="14"/>
      <c r="H17" s="16"/>
      <c r="L17" s="16"/>
    </row>
    <row r="18" spans="1:98">
      <c r="A18">
        <v>8</v>
      </c>
      <c r="C18" s="3" t="s">
        <v>14</v>
      </c>
      <c r="D18" s="3">
        <v>161</v>
      </c>
      <c r="E18" s="15" t="s">
        <v>553</v>
      </c>
      <c r="H18" s="16"/>
      <c r="I18" s="17">
        <f>+'ATT H-9A'!H308</f>
        <v>4.5227211702536248E-2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7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5"/>
      <c r="CG23" s="5"/>
      <c r="CH23" s="5"/>
      <c r="CI23" s="5"/>
      <c r="CJ23" s="5"/>
      <c r="CK23" s="5"/>
      <c r="CL23" s="5"/>
      <c r="CM23" s="5"/>
      <c r="CN23" s="5"/>
      <c r="CO23" s="5"/>
      <c r="CP23" s="5"/>
      <c r="CQ23" s="5"/>
      <c r="CR23" s="5"/>
      <c r="CS23" s="5"/>
      <c r="CT23" s="5"/>
    </row>
    <row r="24" spans="1:98" ht="49.5" customHeight="1">
      <c r="C24" s="23" t="s">
        <v>18</v>
      </c>
      <c r="D24" s="24"/>
      <c r="E24" s="2017" t="s">
        <v>19</v>
      </c>
      <c r="F24" s="2018"/>
      <c r="G24" s="2018"/>
      <c r="H24" s="2019"/>
      <c r="I24" s="2017" t="s">
        <v>20</v>
      </c>
      <c r="J24" s="2018"/>
      <c r="K24" s="2018"/>
      <c r="L24" s="2019"/>
      <c r="M24" s="2017" t="s">
        <v>21</v>
      </c>
      <c r="N24" s="2018"/>
      <c r="O24" s="2018"/>
      <c r="P24" s="2019"/>
      <c r="Q24" s="2017" t="s">
        <v>22</v>
      </c>
      <c r="R24" s="2018"/>
      <c r="S24" s="2018"/>
      <c r="T24" s="2019"/>
      <c r="U24" s="2017" t="s">
        <v>23</v>
      </c>
      <c r="V24" s="2018"/>
      <c r="W24" s="2018"/>
      <c r="X24" s="2019"/>
      <c r="Y24" s="2017" t="s">
        <v>24</v>
      </c>
      <c r="Z24" s="2018"/>
      <c r="AA24" s="2018"/>
      <c r="AB24" s="2019"/>
      <c r="AC24" s="2017" t="s">
        <v>25</v>
      </c>
      <c r="AD24" s="2018"/>
      <c r="AE24" s="2018"/>
      <c r="AF24" s="2019"/>
      <c r="AG24" s="2017" t="s">
        <v>26</v>
      </c>
      <c r="AH24" s="2018"/>
      <c r="AI24" s="2018"/>
      <c r="AJ24" s="2019"/>
      <c r="AK24" s="2017" t="s">
        <v>27</v>
      </c>
      <c r="AL24" s="2018"/>
      <c r="AM24" s="2018"/>
      <c r="AN24" s="2019"/>
      <c r="AO24" s="2017" t="s">
        <v>28</v>
      </c>
      <c r="AP24" s="2018"/>
      <c r="AQ24" s="2018"/>
      <c r="AR24" s="2019"/>
      <c r="AS24" s="2017" t="s">
        <v>29</v>
      </c>
      <c r="AT24" s="2018"/>
      <c r="AU24" s="2018"/>
      <c r="AV24" s="2019"/>
      <c r="AW24" s="2017" t="s">
        <v>30</v>
      </c>
      <c r="AX24" s="2018"/>
      <c r="AY24" s="2018"/>
      <c r="AZ24" s="2019"/>
      <c r="BA24" s="2017" t="s">
        <v>31</v>
      </c>
      <c r="BB24" s="2018"/>
      <c r="BC24" s="2018"/>
      <c r="BD24" s="2019"/>
      <c r="BE24" s="2017" t="s">
        <v>32</v>
      </c>
      <c r="BF24" s="2018"/>
      <c r="BG24" s="2018"/>
      <c r="BH24" s="2019"/>
      <c r="BI24" s="2017" t="s">
        <v>1535</v>
      </c>
      <c r="BJ24" s="2018"/>
      <c r="BK24" s="2018"/>
      <c r="BL24" s="2019"/>
      <c r="BM24" s="2018" t="s">
        <v>1536</v>
      </c>
      <c r="BN24" s="2018"/>
      <c r="BO24" s="2018"/>
      <c r="BP24" s="2019"/>
      <c r="BQ24" s="2022" t="s">
        <v>1537</v>
      </c>
      <c r="BR24" s="2023"/>
      <c r="BS24" s="2023"/>
      <c r="BT24" s="2024"/>
      <c r="BU24" s="25"/>
      <c r="BV24" s="26"/>
      <c r="BW24" s="27"/>
    </row>
    <row r="25" spans="1:98" ht="38.2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1">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ht="25.5">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8.25">
      <c r="A29">
        <v>16</v>
      </c>
      <c r="B29" s="41" t="s">
        <v>44</v>
      </c>
      <c r="C29" s="29" t="s">
        <v>45</v>
      </c>
      <c r="D29" s="30"/>
      <c r="E29" s="42">
        <f>+$I$12</f>
        <v>0.10963186411123545</v>
      </c>
      <c r="F29" s="36"/>
      <c r="G29" s="36"/>
      <c r="H29" s="43"/>
      <c r="I29" s="42">
        <f>+$I$12</f>
        <v>0.10963186411123545</v>
      </c>
      <c r="J29" s="39"/>
      <c r="K29" s="39"/>
      <c r="L29" s="30"/>
      <c r="M29" s="42">
        <f>+$I$12</f>
        <v>0.10963186411123545</v>
      </c>
      <c r="N29" s="39"/>
      <c r="O29" s="39"/>
      <c r="P29" s="30"/>
      <c r="Q29" s="42">
        <f>+$I$12</f>
        <v>0.10963186411123545</v>
      </c>
      <c r="R29" s="39"/>
      <c r="S29" s="39"/>
      <c r="T29" s="30"/>
      <c r="U29" s="42">
        <f>+$I$12</f>
        <v>0.10963186411123545</v>
      </c>
      <c r="V29" s="39"/>
      <c r="W29" s="39"/>
      <c r="X29" s="30"/>
      <c r="Y29" s="42">
        <f>+$I$12</f>
        <v>0.10963186411123545</v>
      </c>
      <c r="Z29" s="39"/>
      <c r="AA29" s="39"/>
      <c r="AB29" s="30"/>
      <c r="AC29" s="42">
        <f>+$I$12</f>
        <v>0.10963186411123545</v>
      </c>
      <c r="AD29" s="39"/>
      <c r="AE29" s="39"/>
      <c r="AF29" s="30"/>
      <c r="AG29" s="42">
        <f>+$I$12</f>
        <v>0.10963186411123545</v>
      </c>
      <c r="AH29" s="39"/>
      <c r="AI29" s="39"/>
      <c r="AJ29" s="30"/>
      <c r="AK29" s="42">
        <f>+$I$12</f>
        <v>0.10963186411123545</v>
      </c>
      <c r="AL29" s="39"/>
      <c r="AM29" s="39"/>
      <c r="AN29" s="30"/>
      <c r="AO29" s="42">
        <f>+$I$12</f>
        <v>0.10963186411123545</v>
      </c>
      <c r="AP29" s="39"/>
      <c r="AQ29" s="39"/>
      <c r="AR29" s="30"/>
      <c r="AS29" s="42">
        <f>+$I$12</f>
        <v>0.10963186411123545</v>
      </c>
      <c r="AT29" s="39"/>
      <c r="AU29" s="39"/>
      <c r="AV29" s="30"/>
      <c r="AW29" s="42">
        <f>+$I$12</f>
        <v>0.10963186411123545</v>
      </c>
      <c r="AX29" s="39"/>
      <c r="AY29" s="39"/>
      <c r="AZ29" s="30"/>
      <c r="BA29" s="42">
        <f>+$I$12</f>
        <v>0.10963186411123545</v>
      </c>
      <c r="BB29" s="39"/>
      <c r="BC29" s="39"/>
      <c r="BD29" s="30"/>
      <c r="BE29" s="42">
        <f>+$I$12</f>
        <v>0.10963186411123545</v>
      </c>
      <c r="BF29" s="39"/>
      <c r="BG29" s="39"/>
      <c r="BH29" s="30"/>
      <c r="BI29" s="42">
        <f>+$I$12</f>
        <v>0.10963186411123545</v>
      </c>
      <c r="BJ29" s="39"/>
      <c r="BK29" s="39"/>
      <c r="BL29" s="30"/>
      <c r="BM29" s="42">
        <f>+$I$12</f>
        <v>0.10963186411123545</v>
      </c>
      <c r="BN29" s="39"/>
      <c r="BO29" s="39"/>
      <c r="BP29" s="39"/>
      <c r="BQ29" s="42">
        <f>+$I$12</f>
        <v>0.10963186411123545</v>
      </c>
      <c r="BR29" s="39"/>
      <c r="BS29" s="39"/>
      <c r="BT29" s="30"/>
      <c r="BU29" s="36"/>
      <c r="BV29" s="37"/>
      <c r="BW29" s="38"/>
    </row>
    <row r="30" spans="1:98" ht="25.5">
      <c r="A30">
        <v>17</v>
      </c>
      <c r="B30" s="44" t="s">
        <v>46</v>
      </c>
      <c r="C30" s="29" t="s">
        <v>47</v>
      </c>
      <c r="D30" s="1093"/>
      <c r="E30" s="45">
        <f>+$I14*E28/100+E29</f>
        <v>0.11800360697200411</v>
      </c>
      <c r="F30" s="46"/>
      <c r="G30" s="46"/>
      <c r="H30" s="47"/>
      <c r="I30" s="45">
        <f>+$I14*I28/100+I29</f>
        <v>0.11800360697200411</v>
      </c>
      <c r="J30" s="36"/>
      <c r="K30" s="36"/>
      <c r="L30" s="38"/>
      <c r="M30" s="45">
        <f>+$I14*M28/100+M29</f>
        <v>0.11800360697200411</v>
      </c>
      <c r="N30" s="36"/>
      <c r="O30" s="36"/>
      <c r="P30" s="38"/>
      <c r="Q30" s="45">
        <f>+$I14*Q28/100+Q29</f>
        <v>0.10963186411123545</v>
      </c>
      <c r="R30" s="36"/>
      <c r="S30" s="36"/>
      <c r="T30" s="38"/>
      <c r="U30" s="45">
        <f>+$I14*U28/100+U29</f>
        <v>0.10963186411123545</v>
      </c>
      <c r="V30" s="36"/>
      <c r="W30" s="36"/>
      <c r="X30" s="38"/>
      <c r="Y30" s="45">
        <f>+$I14*Y28/100+Y29</f>
        <v>0.10963186411123545</v>
      </c>
      <c r="Z30" s="36"/>
      <c r="AA30" s="36"/>
      <c r="AB30" s="38"/>
      <c r="AC30" s="45">
        <f>+$I14*AC28/100+AC29</f>
        <v>0.10963186411123545</v>
      </c>
      <c r="AD30" s="36"/>
      <c r="AE30" s="36"/>
      <c r="AF30" s="38"/>
      <c r="AG30" s="45">
        <f>+$I14*AG28/100+AG29</f>
        <v>0.11800360697200411</v>
      </c>
      <c r="AH30" s="36"/>
      <c r="AI30" s="36"/>
      <c r="AJ30" s="38"/>
      <c r="AK30" s="45">
        <f>+$I14*AK28/100+AK29</f>
        <v>0.11800360697200411</v>
      </c>
      <c r="AL30" s="36"/>
      <c r="AM30" s="36"/>
      <c r="AN30" s="38"/>
      <c r="AO30" s="45">
        <f>+$I14*AO28/100+AO29</f>
        <v>0.10963186411123545</v>
      </c>
      <c r="AP30" s="36"/>
      <c r="AQ30" s="36"/>
      <c r="AR30" s="38"/>
      <c r="AS30" s="45">
        <f>+$I14*AS28/100+AS29</f>
        <v>0.10963186411123545</v>
      </c>
      <c r="AT30" s="36"/>
      <c r="AU30" s="36"/>
      <c r="AV30" s="38"/>
      <c r="AW30" s="45">
        <f>+$I14*AW28/100+AW29</f>
        <v>0.11800360697200411</v>
      </c>
      <c r="AX30" s="36"/>
      <c r="AY30" s="36"/>
      <c r="AZ30" s="38"/>
      <c r="BA30" s="45">
        <f>+$I14*BA28/100+BA29</f>
        <v>0.10963186411123545</v>
      </c>
      <c r="BB30" s="36"/>
      <c r="BC30" s="36"/>
      <c r="BD30" s="38"/>
      <c r="BE30" s="45">
        <f>+$I14*BE28/100+BE29</f>
        <v>0.10963186411123545</v>
      </c>
      <c r="BF30" s="36"/>
      <c r="BG30" s="36"/>
      <c r="BH30" s="38"/>
      <c r="BI30" s="45">
        <f>+$I14*BI28/100+BI29</f>
        <v>0.10963186411123545</v>
      </c>
      <c r="BJ30" s="36"/>
      <c r="BK30" s="36"/>
      <c r="BL30" s="38"/>
      <c r="BM30" s="45">
        <f>+$I14*BM28/100+BM29</f>
        <v>0.10963186411123545</v>
      </c>
      <c r="BN30" s="36"/>
      <c r="BO30" s="36"/>
      <c r="BP30" s="36"/>
      <c r="BQ30" s="45">
        <f>+$I14*BQ28/100+BQ29</f>
        <v>0.10963186411123545</v>
      </c>
      <c r="BR30" s="36"/>
      <c r="BS30" s="36"/>
      <c r="BT30" s="38"/>
      <c r="BU30" s="36"/>
      <c r="BV30" s="37"/>
      <c r="BW30" s="38"/>
    </row>
    <row r="31" spans="1:98" ht="26.25">
      <c r="A31">
        <v>18</v>
      </c>
      <c r="B31" s="48" t="s">
        <v>48</v>
      </c>
      <c r="C31" s="29" t="s">
        <v>49</v>
      </c>
      <c r="D31" s="30"/>
      <c r="E31" s="49">
        <v>33558380</v>
      </c>
      <c r="F31" s="50"/>
      <c r="G31" s="50"/>
      <c r="H31" s="43"/>
      <c r="I31" s="51">
        <f>36700000</f>
        <v>36700000</v>
      </c>
      <c r="J31" s="52"/>
      <c r="K31" s="52"/>
      <c r="L31" s="53"/>
      <c r="M31" s="51">
        <f>20000000</f>
        <v>20000000</v>
      </c>
      <c r="N31" s="52"/>
      <c r="O31" s="52"/>
      <c r="P31" s="53"/>
      <c r="Q31" s="51">
        <f>2000000</f>
        <v>2000000</v>
      </c>
      <c r="R31" s="52"/>
      <c r="S31" s="52"/>
      <c r="T31" s="53"/>
      <c r="U31" s="51">
        <f>2000000</f>
        <v>2000000</v>
      </c>
      <c r="V31" s="52"/>
      <c r="W31" s="52"/>
      <c r="X31" s="53"/>
      <c r="Y31" s="51">
        <f>2000000</f>
        <v>2000000</v>
      </c>
      <c r="Z31" s="52"/>
      <c r="AA31" s="52"/>
      <c r="AB31" s="53"/>
      <c r="AC31" s="51">
        <f>2000000</f>
        <v>2000000</v>
      </c>
      <c r="AD31" s="52"/>
      <c r="AE31" s="52"/>
      <c r="AF31" s="53"/>
      <c r="AG31" s="51">
        <v>15875382</v>
      </c>
      <c r="AH31" s="52"/>
      <c r="AI31" s="52"/>
      <c r="AJ31" s="53"/>
      <c r="AK31" s="51">
        <v>29544357</v>
      </c>
      <c r="AL31" s="52"/>
      <c r="AM31" s="52"/>
      <c r="AN31" s="53"/>
      <c r="AO31" s="51">
        <v>58581170</v>
      </c>
      <c r="AP31" s="52"/>
      <c r="AQ31" s="52"/>
      <c r="AR31" s="53"/>
      <c r="AS31" s="51">
        <v>5226954</v>
      </c>
      <c r="AT31" s="52"/>
      <c r="AU31" s="52"/>
      <c r="AV31" s="53"/>
      <c r="AW31" s="51">
        <v>19021804</v>
      </c>
      <c r="AX31" s="52"/>
      <c r="AY31" s="52"/>
      <c r="AZ31" s="53"/>
      <c r="BA31" s="51">
        <v>51852352.189999998</v>
      </c>
      <c r="BB31" s="52"/>
      <c r="BC31" s="52"/>
      <c r="BD31" s="53"/>
      <c r="BE31" s="51">
        <v>8623505</v>
      </c>
      <c r="BF31" s="52"/>
      <c r="BG31" s="52"/>
      <c r="BH31" s="53"/>
      <c r="BI31" s="51">
        <v>9000000</v>
      </c>
      <c r="BJ31" s="52"/>
      <c r="BK31" s="52"/>
      <c r="BL31" s="53"/>
      <c r="BM31" s="51">
        <v>39000000</v>
      </c>
      <c r="BN31" s="52"/>
      <c r="BO31" s="52"/>
      <c r="BP31" s="52"/>
      <c r="BQ31" s="51">
        <v>9200000</v>
      </c>
      <c r="BR31" s="52"/>
      <c r="BS31" s="52"/>
      <c r="BT31" s="53"/>
      <c r="BU31" s="36"/>
      <c r="BV31" s="37"/>
      <c r="BW31" s="38"/>
    </row>
    <row r="32" spans="1:98" ht="27.75" customHeight="1">
      <c r="A32">
        <v>19</v>
      </c>
      <c r="B32" s="54" t="s">
        <v>50</v>
      </c>
      <c r="C32" s="2016" t="s">
        <v>51</v>
      </c>
      <c r="D32" s="1939"/>
      <c r="E32" s="55">
        <f>IF(E31=0,0,E31/E26)</f>
        <v>958810.85714285716</v>
      </c>
      <c r="F32" s="50"/>
      <c r="G32" s="50"/>
      <c r="H32" s="43"/>
      <c r="I32" s="56">
        <f>IF(I31=0,0,I31/I26)</f>
        <v>1048571.4285714285</v>
      </c>
      <c r="J32" s="52"/>
      <c r="K32" s="52"/>
      <c r="L32" s="53"/>
      <c r="M32" s="56">
        <f>IF(M31=0,0,M31/M26)</f>
        <v>571428.57142857148</v>
      </c>
      <c r="N32" s="52"/>
      <c r="O32" s="52"/>
      <c r="P32" s="53"/>
      <c r="Q32" s="56">
        <f>IF(Q31=0,0,Q31/Q26)</f>
        <v>57142.857142857145</v>
      </c>
      <c r="R32" s="52"/>
      <c r="S32" s="52"/>
      <c r="T32" s="53"/>
      <c r="U32" s="56">
        <f>IF(U31=0,0,U31/U26)</f>
        <v>57142.857142857145</v>
      </c>
      <c r="V32" s="52"/>
      <c r="W32" s="52"/>
      <c r="X32" s="53"/>
      <c r="Y32" s="56">
        <f>IF(Y31=0,0,Y31/Y26)</f>
        <v>57142.857142857145</v>
      </c>
      <c r="Z32" s="52"/>
      <c r="AA32" s="52"/>
      <c r="AB32" s="53"/>
      <c r="AC32" s="56">
        <f>IF(AC31=0,0,AC31/AC26)</f>
        <v>57142.857142857145</v>
      </c>
      <c r="AD32" s="52"/>
      <c r="AE32" s="52"/>
      <c r="AF32" s="53"/>
      <c r="AG32" s="56">
        <f>IF(AG31=0,0,AG31/AG26)</f>
        <v>453582.34285714285</v>
      </c>
      <c r="AH32" s="52"/>
      <c r="AI32" s="52"/>
      <c r="AJ32" s="53"/>
      <c r="AK32" s="56">
        <f>IF(AK31=0,0,AK31/AK26)</f>
        <v>844124.48571428575</v>
      </c>
      <c r="AL32" s="52"/>
      <c r="AM32" s="52"/>
      <c r="AN32" s="53"/>
      <c r="AO32" s="56">
        <f>IF(AO31=0,0,AO31/AO26)</f>
        <v>1673747.7142857143</v>
      </c>
      <c r="AP32" s="52"/>
      <c r="AQ32" s="52"/>
      <c r="AR32" s="53"/>
      <c r="AS32" s="56">
        <f>IF(AS31=0,0,AS31/AS26)</f>
        <v>149341.54285714286</v>
      </c>
      <c r="AT32" s="52"/>
      <c r="AU32" s="52"/>
      <c r="AV32" s="53"/>
      <c r="AW32" s="56">
        <f>IF(AW31=0,0,AW31/AW26)</f>
        <v>543480.11428571434</v>
      </c>
      <c r="AX32" s="52"/>
      <c r="AY32" s="52"/>
      <c r="AZ32" s="53"/>
      <c r="BA32" s="56">
        <f>IF(BA31=0,0,BA31/BA26)</f>
        <v>1481495.7768571428</v>
      </c>
      <c r="BB32" s="52"/>
      <c r="BC32" s="52"/>
      <c r="BD32" s="53"/>
      <c r="BE32" s="56">
        <f>IF(BE31=0,0,BE31/BE26)</f>
        <v>246385.85714285713</v>
      </c>
      <c r="BF32" s="52"/>
      <c r="BG32" s="52"/>
      <c r="BH32" s="53"/>
      <c r="BI32" s="56">
        <f>IF(BI31=0,0,BI31/BI26)</f>
        <v>257142.85714285713</v>
      </c>
      <c r="BJ32" s="52"/>
      <c r="BK32" s="52"/>
      <c r="BL32" s="53"/>
      <c r="BM32" s="56">
        <f>IF(BM31=0,0,BM31/BM26)</f>
        <v>1114285.7142857143</v>
      </c>
      <c r="BN32" s="52"/>
      <c r="BO32" s="52"/>
      <c r="BP32" s="52"/>
      <c r="BQ32" s="56">
        <f>IF(BQ31=0,0,BQ31/BQ26)</f>
        <v>262857.14285714284</v>
      </c>
      <c r="BR32" s="52"/>
      <c r="BS32" s="52"/>
      <c r="BT32" s="53"/>
      <c r="BU32" s="36"/>
      <c r="BV32" s="37"/>
      <c r="BW32" s="38"/>
    </row>
    <row r="33" spans="1:82" s="5" customFormat="1" ht="27" customHeight="1">
      <c r="A33" s="5">
        <v>20</v>
      </c>
      <c r="B33" s="44" t="s">
        <v>52</v>
      </c>
      <c r="C33" s="2020" t="s">
        <v>53</v>
      </c>
      <c r="D33" s="2021"/>
      <c r="E33" s="57">
        <v>6.5</v>
      </c>
      <c r="F33" s="58"/>
      <c r="G33" s="58"/>
      <c r="H33" s="59"/>
      <c r="I33" s="60">
        <v>8</v>
      </c>
      <c r="J33" s="61"/>
      <c r="K33" s="61"/>
      <c r="L33" s="62"/>
      <c r="M33" s="60">
        <v>8</v>
      </c>
      <c r="N33" s="61"/>
      <c r="O33" s="61"/>
      <c r="P33" s="62"/>
      <c r="Q33" s="60">
        <v>8</v>
      </c>
      <c r="R33" s="61"/>
      <c r="S33" s="61"/>
      <c r="T33" s="62"/>
      <c r="U33" s="60">
        <v>8</v>
      </c>
      <c r="V33" s="61"/>
      <c r="W33" s="61"/>
      <c r="X33" s="62"/>
      <c r="Y33" s="60">
        <v>8</v>
      </c>
      <c r="Z33" s="61"/>
      <c r="AA33" s="61"/>
      <c r="AB33" s="62"/>
      <c r="AC33" s="60">
        <v>12</v>
      </c>
      <c r="AD33" s="61"/>
      <c r="AE33" s="61"/>
      <c r="AF33" s="62"/>
      <c r="AG33" s="60">
        <v>6</v>
      </c>
      <c r="AH33" s="61"/>
      <c r="AI33" s="61"/>
      <c r="AJ33" s="62"/>
      <c r="AK33" s="60">
        <v>6</v>
      </c>
      <c r="AL33" s="61"/>
      <c r="AM33" s="61"/>
      <c r="AN33" s="62"/>
      <c r="AO33" s="60">
        <v>6</v>
      </c>
      <c r="AP33" s="61"/>
      <c r="AQ33" s="61"/>
      <c r="AR33" s="62"/>
      <c r="AS33" s="60">
        <v>6</v>
      </c>
      <c r="AT33" s="61"/>
      <c r="AU33" s="61"/>
      <c r="AV33" s="62"/>
      <c r="AW33" s="60">
        <v>2</v>
      </c>
      <c r="AX33" s="61"/>
      <c r="AY33" s="61"/>
      <c r="AZ33" s="62"/>
      <c r="BA33" s="60">
        <v>10</v>
      </c>
      <c r="BB33" s="61"/>
      <c r="BC33" s="61"/>
      <c r="BD33" s="62"/>
      <c r="BE33" s="60">
        <v>2</v>
      </c>
      <c r="BF33" s="61"/>
      <c r="BG33" s="61"/>
      <c r="BH33" s="62"/>
      <c r="BI33" s="60">
        <v>6</v>
      </c>
      <c r="BJ33" s="61"/>
      <c r="BK33" s="61"/>
      <c r="BL33" s="62"/>
      <c r="BM33" s="60">
        <v>6</v>
      </c>
      <c r="BN33" s="61"/>
      <c r="BO33" s="61"/>
      <c r="BP33" s="61"/>
      <c r="BQ33" s="60">
        <v>6</v>
      </c>
      <c r="BR33" s="61"/>
      <c r="BS33" s="61"/>
      <c r="BT33" s="62"/>
      <c r="BU33" s="63"/>
      <c r="BV33" s="29"/>
      <c r="BW33" s="64"/>
    </row>
    <row r="34" spans="1:82" ht="15.75" thickBot="1">
      <c r="C34" s="65"/>
      <c r="D34" s="66"/>
      <c r="E34" s="67"/>
      <c r="F34" s="68"/>
      <c r="G34" s="68"/>
      <c r="H34" s="69"/>
      <c r="I34" s="70"/>
      <c r="J34" s="71"/>
      <c r="K34" s="71"/>
      <c r="L34" s="72"/>
      <c r="M34" s="70"/>
      <c r="N34" s="71"/>
      <c r="O34" s="71"/>
      <c r="P34" s="72"/>
      <c r="Q34" s="70"/>
      <c r="R34" s="71"/>
      <c r="S34" s="71"/>
      <c r="T34" s="72"/>
      <c r="U34" s="70"/>
      <c r="V34" s="71"/>
      <c r="W34" s="71"/>
      <c r="X34" s="72"/>
      <c r="Y34" s="70"/>
      <c r="Z34" s="71"/>
      <c r="AA34" s="71"/>
      <c r="AB34" s="72"/>
      <c r="AC34" s="70"/>
      <c r="AD34" s="71"/>
      <c r="AE34" s="71"/>
      <c r="AF34" s="72"/>
      <c r="AG34" s="70"/>
      <c r="AH34" s="71"/>
      <c r="AI34" s="71"/>
      <c r="AJ34" s="72"/>
      <c r="AK34" s="70"/>
      <c r="AL34" s="71"/>
      <c r="AM34" s="71"/>
      <c r="AN34" s="72"/>
      <c r="AO34" s="70"/>
      <c r="AP34" s="71"/>
      <c r="AQ34" s="71"/>
      <c r="AR34" s="72"/>
      <c r="AS34" s="70"/>
      <c r="AT34" s="71"/>
      <c r="AU34" s="71"/>
      <c r="AV34" s="72"/>
      <c r="AW34" s="70"/>
      <c r="AX34" s="71"/>
      <c r="AY34" s="71"/>
      <c r="AZ34" s="72"/>
      <c r="BA34" s="70"/>
      <c r="BB34" s="71"/>
      <c r="BC34" s="71"/>
      <c r="BD34" s="72"/>
      <c r="BE34" s="70"/>
      <c r="BF34" s="71"/>
      <c r="BG34" s="71"/>
      <c r="BH34" s="72"/>
      <c r="BI34" s="70"/>
      <c r="BJ34" s="71"/>
      <c r="BK34" s="71"/>
      <c r="BL34" s="72"/>
      <c r="BM34" s="71"/>
      <c r="BN34" s="71"/>
      <c r="BO34" s="71"/>
      <c r="BP34" s="71"/>
      <c r="BQ34" s="70"/>
      <c r="BR34" s="71"/>
      <c r="BS34" s="71"/>
      <c r="BT34" s="72"/>
      <c r="BU34" s="73"/>
      <c r="BV34" s="65"/>
      <c r="BW34" s="74"/>
    </row>
    <row r="35" spans="1:82">
      <c r="C35" s="26"/>
      <c r="D35" s="75" t="s">
        <v>54</v>
      </c>
      <c r="E35" s="1095" t="s">
        <v>55</v>
      </c>
      <c r="F35" s="1095" t="s">
        <v>56</v>
      </c>
      <c r="G35" s="1095" t="s">
        <v>57</v>
      </c>
      <c r="H35" s="1096" t="s">
        <v>58</v>
      </c>
      <c r="I35" s="1094" t="s">
        <v>55</v>
      </c>
      <c r="J35" s="1095" t="s">
        <v>56</v>
      </c>
      <c r="K35" s="1095" t="s">
        <v>57</v>
      </c>
      <c r="L35" s="1096" t="s">
        <v>58</v>
      </c>
      <c r="M35" s="1094" t="s">
        <v>55</v>
      </c>
      <c r="N35" s="1095" t="s">
        <v>56</v>
      </c>
      <c r="O35" s="1095" t="s">
        <v>57</v>
      </c>
      <c r="P35" s="1096" t="s">
        <v>58</v>
      </c>
      <c r="Q35" s="1094" t="s">
        <v>55</v>
      </c>
      <c r="R35" s="1095" t="s">
        <v>56</v>
      </c>
      <c r="S35" s="1095" t="s">
        <v>57</v>
      </c>
      <c r="T35" s="1096" t="s">
        <v>58</v>
      </c>
      <c r="U35" s="1094" t="s">
        <v>55</v>
      </c>
      <c r="V35" s="1095" t="s">
        <v>56</v>
      </c>
      <c r="W35" s="1095" t="s">
        <v>57</v>
      </c>
      <c r="X35" s="1096" t="s">
        <v>58</v>
      </c>
      <c r="Y35" s="1094" t="s">
        <v>55</v>
      </c>
      <c r="Z35" s="1095" t="s">
        <v>56</v>
      </c>
      <c r="AA35" s="1095" t="s">
        <v>57</v>
      </c>
      <c r="AB35" s="1096" t="s">
        <v>58</v>
      </c>
      <c r="AC35" s="1094" t="s">
        <v>55</v>
      </c>
      <c r="AD35" s="1095" t="s">
        <v>56</v>
      </c>
      <c r="AE35" s="1095" t="s">
        <v>57</v>
      </c>
      <c r="AF35" s="1096" t="s">
        <v>58</v>
      </c>
      <c r="AG35" s="1094" t="s">
        <v>55</v>
      </c>
      <c r="AH35" s="1095" t="s">
        <v>56</v>
      </c>
      <c r="AI35" s="1095" t="s">
        <v>57</v>
      </c>
      <c r="AJ35" s="1096" t="s">
        <v>58</v>
      </c>
      <c r="AK35" s="1094" t="s">
        <v>55</v>
      </c>
      <c r="AL35" s="1095" t="s">
        <v>56</v>
      </c>
      <c r="AM35" s="1095" t="s">
        <v>57</v>
      </c>
      <c r="AN35" s="1096" t="s">
        <v>58</v>
      </c>
      <c r="AO35" s="1094" t="s">
        <v>55</v>
      </c>
      <c r="AP35" s="1095" t="s">
        <v>56</v>
      </c>
      <c r="AQ35" s="1095" t="s">
        <v>57</v>
      </c>
      <c r="AR35" s="1096" t="s">
        <v>58</v>
      </c>
      <c r="AS35" s="1094" t="s">
        <v>55</v>
      </c>
      <c r="AT35" s="1095" t="s">
        <v>56</v>
      </c>
      <c r="AU35" s="1095" t="s">
        <v>57</v>
      </c>
      <c r="AV35" s="1096" t="s">
        <v>58</v>
      </c>
      <c r="AW35" s="1094" t="s">
        <v>55</v>
      </c>
      <c r="AX35" s="1095" t="s">
        <v>56</v>
      </c>
      <c r="AY35" s="1095" t="s">
        <v>57</v>
      </c>
      <c r="AZ35" s="1096" t="s">
        <v>58</v>
      </c>
      <c r="BA35" s="1094" t="s">
        <v>55</v>
      </c>
      <c r="BB35" s="1095" t="s">
        <v>56</v>
      </c>
      <c r="BC35" s="1095" t="s">
        <v>57</v>
      </c>
      <c r="BD35" s="1096" t="s">
        <v>58</v>
      </c>
      <c r="BE35" s="1094" t="s">
        <v>55</v>
      </c>
      <c r="BF35" s="1095" t="s">
        <v>56</v>
      </c>
      <c r="BG35" s="1095" t="s">
        <v>57</v>
      </c>
      <c r="BH35" s="1096" t="s">
        <v>58</v>
      </c>
      <c r="BI35" s="1837" t="s">
        <v>55</v>
      </c>
      <c r="BJ35" s="1838" t="s">
        <v>56</v>
      </c>
      <c r="BK35" s="1838" t="s">
        <v>57</v>
      </c>
      <c r="BL35" s="1839" t="s">
        <v>58</v>
      </c>
      <c r="BM35" s="1837" t="s">
        <v>55</v>
      </c>
      <c r="BN35" s="1838" t="s">
        <v>56</v>
      </c>
      <c r="BO35" s="1838" t="s">
        <v>57</v>
      </c>
      <c r="BP35" s="1839" t="s">
        <v>58</v>
      </c>
      <c r="BQ35" s="1477" t="s">
        <v>55</v>
      </c>
      <c r="BR35" s="1478" t="s">
        <v>56</v>
      </c>
      <c r="BS35" s="1478" t="s">
        <v>57</v>
      </c>
      <c r="BT35" s="1479" t="s">
        <v>58</v>
      </c>
      <c r="BU35" s="76" t="s">
        <v>59</v>
      </c>
      <c r="BV35" s="77" t="s">
        <v>60</v>
      </c>
      <c r="BW35" s="78" t="s">
        <v>61</v>
      </c>
    </row>
    <row r="36" spans="1:82" ht="12.75" hidden="1" customHeight="1">
      <c r="A36">
        <v>21</v>
      </c>
      <c r="C36" s="37" t="str">
        <f>+C29</f>
        <v>Base FCR</v>
      </c>
      <c r="D36" s="79">
        <v>2008</v>
      </c>
      <c r="E36" s="80"/>
      <c r="F36" s="50"/>
      <c r="G36" s="80">
        <v>0</v>
      </c>
      <c r="H36" s="43">
        <v>0</v>
      </c>
      <c r="I36" s="80"/>
      <c r="J36" s="52"/>
      <c r="K36" s="80">
        <f t="shared" ref="K36:K75" si="0">+I36-J36</f>
        <v>0</v>
      </c>
      <c r="L36" s="53">
        <f>+I$29*K36*(13-I33)/12+J36</f>
        <v>0</v>
      </c>
      <c r="M36" s="80"/>
      <c r="N36" s="52"/>
      <c r="O36" s="80">
        <f t="shared" ref="O36:O75" si="1">+M36-N36</f>
        <v>0</v>
      </c>
      <c r="P36" s="53">
        <f>+M$29*O36*(13-M33)/12+N36</f>
        <v>0</v>
      </c>
      <c r="Q36" s="80"/>
      <c r="R36" s="52"/>
      <c r="S36" s="80">
        <f>+Q36-R36</f>
        <v>0</v>
      </c>
      <c r="T36" s="53">
        <f>+Q$29*S36*(13-Q33)/12+R36</f>
        <v>0</v>
      </c>
      <c r="U36" s="80"/>
      <c r="V36" s="52"/>
      <c r="W36" s="80">
        <f>+U36-V36</f>
        <v>0</v>
      </c>
      <c r="X36" s="53">
        <f>+U$29*W36*(13-U33)/12+V36</f>
        <v>0</v>
      </c>
      <c r="Y36" s="80"/>
      <c r="Z36" s="52"/>
      <c r="AA36" s="80">
        <f>+Y36-Z36</f>
        <v>0</v>
      </c>
      <c r="AB36" s="53">
        <f>+Y$29*AA36*(13-Y33)/12+Z36</f>
        <v>0</v>
      </c>
      <c r="AC36" s="80"/>
      <c r="AD36" s="52"/>
      <c r="AE36" s="80">
        <f>+AC36-AD36</f>
        <v>0</v>
      </c>
      <c r="AF36" s="53">
        <f>+AC$29*AE36*(13-AC33)/12+AD36</f>
        <v>0</v>
      </c>
      <c r="AG36" s="80"/>
      <c r="AH36" s="52"/>
      <c r="AI36" s="80">
        <f t="shared" ref="AI36:AI37" si="2">+AG36-AH36</f>
        <v>0</v>
      </c>
      <c r="AJ36" s="53">
        <f>+AG$29*AI36*(13-AG33)/12+AH36</f>
        <v>0</v>
      </c>
      <c r="AK36" s="80"/>
      <c r="AL36" s="52"/>
      <c r="AM36" s="80">
        <f t="shared" ref="AM36:AM37" si="3">+AK36-AL36</f>
        <v>0</v>
      </c>
      <c r="AN36" s="53">
        <f>+AK$29*AM36*(13-AK33)/12+AL36</f>
        <v>0</v>
      </c>
      <c r="AO36" s="80"/>
      <c r="AP36" s="52"/>
      <c r="AQ36" s="80">
        <f t="shared" ref="AQ36:AQ37" si="4">+AO36-AP36</f>
        <v>0</v>
      </c>
      <c r="AR36" s="53">
        <f>+AO$29*AQ36*(13-AO33)/12+AP36</f>
        <v>0</v>
      </c>
      <c r="AS36" s="80"/>
      <c r="AT36" s="52"/>
      <c r="AU36" s="80">
        <f t="shared" ref="AU36:AU37" si="5">+AS36-AT36</f>
        <v>0</v>
      </c>
      <c r="AV36" s="53">
        <f>+AS$29*AU36*(13-AS33)/12+AT36</f>
        <v>0</v>
      </c>
      <c r="AW36" s="80"/>
      <c r="AX36" s="52"/>
      <c r="AY36" s="80">
        <f t="shared" ref="AY36:AY37" si="6">+AW36-AX36</f>
        <v>0</v>
      </c>
      <c r="AZ36" s="53">
        <f>+AW$29*AY36*(13-AW33)/12+AX36</f>
        <v>0</v>
      </c>
      <c r="BA36" s="80"/>
      <c r="BB36" s="52"/>
      <c r="BC36" s="80">
        <f t="shared" ref="BC36:BC37" si="7">+BA36-BB36</f>
        <v>0</v>
      </c>
      <c r="BD36" s="53">
        <f>+BA$29*BC36*(13-BA33)/12+BB36</f>
        <v>0</v>
      </c>
      <c r="BE36" s="80"/>
      <c r="BF36" s="52"/>
      <c r="BG36" s="80">
        <f t="shared" ref="BG36:BG37" si="8">+BE36-BF36</f>
        <v>0</v>
      </c>
      <c r="BH36" s="53">
        <f>+BE$29*BG36*(13-BE33)/12+BF36</f>
        <v>0</v>
      </c>
      <c r="BI36" s="56"/>
      <c r="BJ36" s="52"/>
      <c r="BK36" s="52"/>
      <c r="BL36" s="53"/>
      <c r="BM36" s="52"/>
      <c r="BN36" s="52"/>
      <c r="BO36" s="52"/>
      <c r="BP36" s="53"/>
      <c r="BQ36" s="80"/>
      <c r="BR36" s="52"/>
      <c r="BS36" s="80">
        <f t="shared" ref="BS36:BS37" si="9">+BQ36-BR36</f>
        <v>0</v>
      </c>
      <c r="BT36" s="53">
        <f>+BQ$29*BS36*(13-BQ33)/12+BR36</f>
        <v>0</v>
      </c>
      <c r="BU36" s="81">
        <f t="shared" ref="BU36:BU75" si="10">H36+L36+P36+T36+X36+AB36+AF36+AJ36+AN36+AR36+AV36+AZ36+BD36+BH36+BL36+BP36+BT36</f>
        <v>0</v>
      </c>
      <c r="BV36" s="36"/>
      <c r="BW36" s="82">
        <f>+BU36</f>
        <v>0</v>
      </c>
      <c r="BY36" s="83"/>
      <c r="BZ36" s="83"/>
      <c r="CA36" s="83"/>
    </row>
    <row r="37" spans="1:82" ht="12.75" hidden="1" customHeight="1">
      <c r="A37">
        <v>22</v>
      </c>
      <c r="C37" s="37" t="s">
        <v>62</v>
      </c>
      <c r="D37" s="79">
        <v>2008</v>
      </c>
      <c r="E37" s="80">
        <v>0</v>
      </c>
      <c r="F37" s="50">
        <v>0</v>
      </c>
      <c r="G37" s="80">
        <v>0</v>
      </c>
      <c r="H37" s="43">
        <v>0</v>
      </c>
      <c r="I37" s="80"/>
      <c r="J37" s="52"/>
      <c r="K37" s="80">
        <f t="shared" si="0"/>
        <v>0</v>
      </c>
      <c r="L37" s="53">
        <f>+I$30*K37*(13-I33)/12+J37</f>
        <v>0</v>
      </c>
      <c r="M37" s="80"/>
      <c r="N37" s="52"/>
      <c r="O37" s="80">
        <f t="shared" si="1"/>
        <v>0</v>
      </c>
      <c r="P37" s="53">
        <f>+M$30*O37*(13-M33)/12+N37</f>
        <v>0</v>
      </c>
      <c r="Q37" s="80"/>
      <c r="R37" s="52"/>
      <c r="S37" s="80">
        <f>+Q37-R37</f>
        <v>0</v>
      </c>
      <c r="T37" s="53">
        <f>+Q$30*S37*(13-Q33)/12+R37</f>
        <v>0</v>
      </c>
      <c r="U37" s="80"/>
      <c r="V37" s="52"/>
      <c r="W37" s="80">
        <f>+U37-V37</f>
        <v>0</v>
      </c>
      <c r="X37" s="53">
        <f>+U$30*W37*(13-U33)/12+V37</f>
        <v>0</v>
      </c>
      <c r="Y37" s="80"/>
      <c r="Z37" s="52"/>
      <c r="AA37" s="80">
        <f>+Y37-Z37</f>
        <v>0</v>
      </c>
      <c r="AB37" s="53">
        <f>+Y$30*AA37*(13-Y33)/12+Z37</f>
        <v>0</v>
      </c>
      <c r="AC37" s="80"/>
      <c r="AD37" s="52"/>
      <c r="AE37" s="80">
        <f>+AC37-AD37</f>
        <v>0</v>
      </c>
      <c r="AF37" s="53">
        <f>+AC$30*AE37*(13-AC33)/12+AD37</f>
        <v>0</v>
      </c>
      <c r="AG37" s="80"/>
      <c r="AH37" s="52"/>
      <c r="AI37" s="80">
        <f t="shared" si="2"/>
        <v>0</v>
      </c>
      <c r="AJ37" s="53">
        <f>+AG$30*AI37*(13-AG33)/12+AH37</f>
        <v>0</v>
      </c>
      <c r="AK37" s="80"/>
      <c r="AL37" s="52"/>
      <c r="AM37" s="80">
        <f t="shared" si="3"/>
        <v>0</v>
      </c>
      <c r="AN37" s="53">
        <f>+AK$30*AM37*(13-AK33)/12+AL37</f>
        <v>0</v>
      </c>
      <c r="AO37" s="80"/>
      <c r="AP37" s="52"/>
      <c r="AQ37" s="80">
        <f t="shared" si="4"/>
        <v>0</v>
      </c>
      <c r="AR37" s="53">
        <f>+AO$30*AQ37*(13-AO33)/12+AP37</f>
        <v>0</v>
      </c>
      <c r="AS37" s="80"/>
      <c r="AT37" s="52"/>
      <c r="AU37" s="80">
        <f t="shared" si="5"/>
        <v>0</v>
      </c>
      <c r="AV37" s="53">
        <f>+AS$30*AU37*(13-AS33)/12+AT37</f>
        <v>0</v>
      </c>
      <c r="AW37" s="80"/>
      <c r="AX37" s="52"/>
      <c r="AY37" s="80">
        <f t="shared" si="6"/>
        <v>0</v>
      </c>
      <c r="AZ37" s="53">
        <f>+AW$30*AY37*(13-AW33)/12+AX37</f>
        <v>0</v>
      </c>
      <c r="BA37" s="80"/>
      <c r="BB37" s="52"/>
      <c r="BC37" s="80">
        <f t="shared" si="7"/>
        <v>0</v>
      </c>
      <c r="BD37" s="53">
        <f>+BA$30*BC37*(13-BA33)/12+BB37</f>
        <v>0</v>
      </c>
      <c r="BE37" s="80"/>
      <c r="BF37" s="52"/>
      <c r="BG37" s="80">
        <f t="shared" si="8"/>
        <v>0</v>
      </c>
      <c r="BH37" s="53">
        <f>+BE$30*BG37*(13-BE33)/12+BF37</f>
        <v>0</v>
      </c>
      <c r="BI37" s="56"/>
      <c r="BJ37" s="52"/>
      <c r="BK37" s="52"/>
      <c r="BL37" s="53"/>
      <c r="BM37" s="52"/>
      <c r="BN37" s="52"/>
      <c r="BO37" s="52"/>
      <c r="BP37" s="53"/>
      <c r="BQ37" s="80"/>
      <c r="BR37" s="52"/>
      <c r="BS37" s="80">
        <f t="shared" si="9"/>
        <v>0</v>
      </c>
      <c r="BT37" s="53">
        <f>+BQ$30*BS37*(13-BQ33)/12+BR37</f>
        <v>0</v>
      </c>
      <c r="BU37" s="81">
        <f t="shared" si="10"/>
        <v>0</v>
      </c>
      <c r="BV37" s="84">
        <f>+BU37</f>
        <v>0</v>
      </c>
      <c r="BW37" s="38"/>
      <c r="BX37" s="83"/>
      <c r="BZ37" s="85"/>
      <c r="CB37" s="85"/>
      <c r="CC37" s="86"/>
      <c r="CD37" s="86"/>
    </row>
    <row r="38" spans="1:82" ht="12.75" hidden="1" customHeight="1">
      <c r="A38">
        <v>23</v>
      </c>
      <c r="C38" s="37" t="str">
        <f t="shared" ref="C38:C75" si="11">+C36</f>
        <v>Base FCR</v>
      </c>
      <c r="D38" s="79">
        <f t="shared" ref="D38:D75" si="12">+D36+1</f>
        <v>2009</v>
      </c>
      <c r="E38" s="80">
        <v>33558380</v>
      </c>
      <c r="F38" s="50">
        <v>439454.97619047621</v>
      </c>
      <c r="G38" s="80">
        <v>33118925.023809522</v>
      </c>
      <c r="H38" s="43">
        <v>6938098.7052332927</v>
      </c>
      <c r="K38" s="80"/>
      <c r="L38" s="53"/>
      <c r="M38" s="80"/>
      <c r="N38" s="80"/>
      <c r="O38" s="80"/>
      <c r="P38" s="53"/>
      <c r="Q38" s="80"/>
      <c r="R38" s="80"/>
      <c r="S38" s="80"/>
      <c r="T38" s="53"/>
      <c r="U38" s="80"/>
      <c r="V38" s="80"/>
      <c r="W38" s="80"/>
      <c r="X38" s="53"/>
      <c r="Y38" s="80"/>
      <c r="Z38" s="80"/>
      <c r="AA38" s="80"/>
      <c r="AB38" s="53"/>
      <c r="AC38" s="80"/>
      <c r="AD38" s="80"/>
      <c r="AE38" s="80"/>
      <c r="AF38" s="53"/>
      <c r="AG38" s="80"/>
      <c r="AH38" s="80"/>
      <c r="AI38" s="80"/>
      <c r="AJ38" s="53"/>
      <c r="AK38" s="80"/>
      <c r="AL38" s="80"/>
      <c r="AM38" s="80"/>
      <c r="AN38" s="53"/>
      <c r="AO38" s="80"/>
      <c r="AP38" s="80"/>
      <c r="AQ38" s="80"/>
      <c r="AR38" s="53"/>
      <c r="AS38" s="80"/>
      <c r="AT38" s="80"/>
      <c r="AU38" s="80"/>
      <c r="AV38" s="53"/>
      <c r="AW38" s="80"/>
      <c r="AX38" s="80"/>
      <c r="AY38" s="80"/>
      <c r="AZ38" s="53"/>
      <c r="BA38" s="80"/>
      <c r="BB38" s="80"/>
      <c r="BC38" s="80"/>
      <c r="BD38" s="53"/>
      <c r="BE38" s="80"/>
      <c r="BF38" s="80"/>
      <c r="BG38" s="80"/>
      <c r="BH38" s="53"/>
      <c r="BI38" s="56"/>
      <c r="BJ38" s="52"/>
      <c r="BK38" s="52"/>
      <c r="BL38" s="53"/>
      <c r="BM38" s="52"/>
      <c r="BN38" s="52"/>
      <c r="BO38" s="52"/>
      <c r="BP38" s="53"/>
      <c r="BQ38" s="80"/>
      <c r="BR38" s="80"/>
      <c r="BS38" s="80"/>
      <c r="BT38" s="53"/>
      <c r="BU38" s="81">
        <f t="shared" si="10"/>
        <v>6938098.7052332927</v>
      </c>
      <c r="BV38" s="36"/>
      <c r="BW38" s="82">
        <f>+BU38</f>
        <v>6938098.7052332927</v>
      </c>
      <c r="BY38" s="83"/>
      <c r="BZ38" s="85"/>
      <c r="CA38" s="83"/>
      <c r="CB38" s="85"/>
      <c r="CD38" s="83"/>
    </row>
    <row r="39" spans="1:82" ht="12.75" hidden="1" customHeight="1">
      <c r="A39">
        <v>24</v>
      </c>
      <c r="C39" s="37" t="str">
        <f t="shared" si="11"/>
        <v>W Increased ROE</v>
      </c>
      <c r="D39" s="79">
        <f t="shared" si="12"/>
        <v>2009</v>
      </c>
      <c r="E39" s="80">
        <v>33558380</v>
      </c>
      <c r="F39" s="50">
        <v>439454.97619047621</v>
      </c>
      <c r="G39" s="80">
        <v>33118925.023809522</v>
      </c>
      <c r="H39" s="43">
        <v>7293853.8785049953</v>
      </c>
      <c r="I39" s="80"/>
      <c r="J39" s="52"/>
      <c r="K39" s="80"/>
      <c r="L39" s="53"/>
      <c r="M39" s="80"/>
      <c r="N39" s="52"/>
      <c r="O39" s="80"/>
      <c r="P39" s="53"/>
      <c r="Q39" s="80"/>
      <c r="R39" s="52"/>
      <c r="S39" s="80"/>
      <c r="T39" s="53"/>
      <c r="U39" s="80"/>
      <c r="V39" s="52"/>
      <c r="W39" s="80"/>
      <c r="X39" s="53"/>
      <c r="Y39" s="80"/>
      <c r="Z39" s="52"/>
      <c r="AA39" s="80"/>
      <c r="AB39" s="53"/>
      <c r="AC39" s="80"/>
      <c r="AD39" s="52"/>
      <c r="AE39" s="80"/>
      <c r="AF39" s="53"/>
      <c r="AG39" s="80"/>
      <c r="AH39" s="52"/>
      <c r="AI39" s="80"/>
      <c r="AJ39" s="53"/>
      <c r="AK39" s="80"/>
      <c r="AL39" s="52"/>
      <c r="AM39" s="80"/>
      <c r="AN39" s="53"/>
      <c r="AO39" s="80"/>
      <c r="AP39" s="52"/>
      <c r="AQ39" s="80"/>
      <c r="AR39" s="53"/>
      <c r="AS39" s="80"/>
      <c r="AT39" s="52"/>
      <c r="AU39" s="80"/>
      <c r="AV39" s="53"/>
      <c r="AW39" s="80"/>
      <c r="AX39" s="52"/>
      <c r="AY39" s="80"/>
      <c r="AZ39" s="53"/>
      <c r="BA39" s="80"/>
      <c r="BB39" s="52"/>
      <c r="BC39" s="80"/>
      <c r="BD39" s="53"/>
      <c r="BE39" s="80"/>
      <c r="BF39" s="52"/>
      <c r="BG39" s="80"/>
      <c r="BH39" s="53"/>
      <c r="BI39" s="56"/>
      <c r="BJ39" s="52"/>
      <c r="BK39" s="52"/>
      <c r="BL39" s="53"/>
      <c r="BM39" s="52"/>
      <c r="BN39" s="52"/>
      <c r="BO39" s="52"/>
      <c r="BP39" s="53"/>
      <c r="BQ39" s="80"/>
      <c r="BR39" s="52"/>
      <c r="BS39" s="80"/>
      <c r="BT39" s="53"/>
      <c r="BU39" s="81">
        <f t="shared" si="10"/>
        <v>7293853.8785049953</v>
      </c>
      <c r="BV39" s="84">
        <f>+BU39</f>
        <v>7293853.8785049953</v>
      </c>
      <c r="BW39" s="38"/>
      <c r="BX39" s="83"/>
      <c r="BZ39" s="85"/>
      <c r="CB39" s="85"/>
      <c r="CC39" s="86"/>
      <c r="CD39" s="86"/>
    </row>
    <row r="40" spans="1:82" ht="12.75" hidden="1" customHeight="1">
      <c r="A40">
        <v>25</v>
      </c>
      <c r="C40" s="37" t="str">
        <f t="shared" si="11"/>
        <v>Base FCR</v>
      </c>
      <c r="D40" s="79">
        <f t="shared" si="12"/>
        <v>2010</v>
      </c>
      <c r="E40" s="80">
        <v>33118925.023809522</v>
      </c>
      <c r="F40" s="80">
        <v>958810.85714285716</v>
      </c>
      <c r="G40" s="80">
        <v>32160114.166666664</v>
      </c>
      <c r="H40" s="43">
        <v>7269315.3226186931</v>
      </c>
      <c r="I40" s="87"/>
      <c r="J40" s="52"/>
      <c r="K40" s="80"/>
      <c r="L40" s="53"/>
      <c r="M40" s="87"/>
      <c r="N40" s="52"/>
      <c r="O40" s="80"/>
      <c r="P40" s="53"/>
      <c r="Q40" s="87"/>
      <c r="R40" s="52"/>
      <c r="S40" s="80"/>
      <c r="T40" s="53"/>
      <c r="U40" s="87"/>
      <c r="V40" s="52"/>
      <c r="W40" s="80"/>
      <c r="X40" s="53"/>
      <c r="Y40" s="87"/>
      <c r="Z40" s="52"/>
      <c r="AA40" s="80"/>
      <c r="AB40" s="53"/>
      <c r="AC40" s="87"/>
      <c r="AD40" s="52"/>
      <c r="AE40" s="80"/>
      <c r="AF40" s="53"/>
      <c r="AG40" s="87"/>
      <c r="AH40" s="52"/>
      <c r="AI40" s="80"/>
      <c r="AJ40" s="53"/>
      <c r="AK40" s="87"/>
      <c r="AL40" s="52"/>
      <c r="AM40" s="80"/>
      <c r="AN40" s="53"/>
      <c r="AO40" s="87"/>
      <c r="AP40" s="52"/>
      <c r="AQ40" s="80"/>
      <c r="AR40" s="53"/>
      <c r="AS40" s="87"/>
      <c r="AT40" s="52"/>
      <c r="AU40" s="80"/>
      <c r="AV40" s="53"/>
      <c r="AW40" s="87"/>
      <c r="AX40" s="52"/>
      <c r="AY40" s="80"/>
      <c r="AZ40" s="53"/>
      <c r="BA40" s="87"/>
      <c r="BB40" s="52"/>
      <c r="BC40" s="80"/>
      <c r="BD40" s="53"/>
      <c r="BE40" s="87"/>
      <c r="BF40" s="52"/>
      <c r="BG40" s="80"/>
      <c r="BH40" s="53"/>
      <c r="BI40" s="56"/>
      <c r="BJ40" s="52"/>
      <c r="BK40" s="52"/>
      <c r="BL40" s="53"/>
      <c r="BM40" s="52"/>
      <c r="BN40" s="52"/>
      <c r="BO40" s="52"/>
      <c r="BP40" s="53"/>
      <c r="BQ40" s="80"/>
      <c r="BR40" s="52"/>
      <c r="BS40" s="80"/>
      <c r="BT40" s="53"/>
      <c r="BU40" s="81">
        <f t="shared" si="10"/>
        <v>7269315.3226186931</v>
      </c>
      <c r="BV40" s="36"/>
      <c r="BW40" s="82">
        <f>+BU40</f>
        <v>7269315.3226186931</v>
      </c>
      <c r="BY40" s="83"/>
      <c r="BZ40" s="85"/>
      <c r="CA40" s="83"/>
      <c r="CB40" s="85"/>
    </row>
    <row r="41" spans="1:82" ht="12.75" hidden="1" customHeight="1">
      <c r="A41">
        <v>26</v>
      </c>
      <c r="C41" s="37" t="str">
        <f t="shared" si="11"/>
        <v>W Increased ROE</v>
      </c>
      <c r="D41" s="79">
        <f t="shared" si="12"/>
        <v>2010</v>
      </c>
      <c r="E41" s="80">
        <v>33118925.023809522</v>
      </c>
      <c r="F41" s="80">
        <v>958810.85714285716</v>
      </c>
      <c r="G41" s="80">
        <v>32160114.166666664</v>
      </c>
      <c r="H41" s="43">
        <v>7614771.1905122027</v>
      </c>
      <c r="I41" s="87"/>
      <c r="J41" s="80"/>
      <c r="K41" s="80"/>
      <c r="L41" s="53"/>
      <c r="M41" s="87"/>
      <c r="N41" s="80"/>
      <c r="O41" s="80"/>
      <c r="P41" s="53"/>
      <c r="Q41" s="87"/>
      <c r="R41" s="80"/>
      <c r="S41" s="80"/>
      <c r="T41" s="53"/>
      <c r="U41" s="87"/>
      <c r="V41" s="80"/>
      <c r="W41" s="80"/>
      <c r="X41" s="53"/>
      <c r="Y41" s="87"/>
      <c r="Z41" s="80"/>
      <c r="AA41" s="80"/>
      <c r="AB41" s="53"/>
      <c r="AC41" s="87"/>
      <c r="AD41" s="80"/>
      <c r="AE41" s="80"/>
      <c r="AF41" s="53"/>
      <c r="AG41" s="87"/>
      <c r="AH41" s="80"/>
      <c r="AI41" s="80"/>
      <c r="AJ41" s="53"/>
      <c r="AK41" s="87"/>
      <c r="AL41" s="80"/>
      <c r="AM41" s="80"/>
      <c r="AN41" s="53"/>
      <c r="AO41" s="87"/>
      <c r="AP41" s="80"/>
      <c r="AQ41" s="80"/>
      <c r="AR41" s="53"/>
      <c r="AS41" s="87"/>
      <c r="AT41" s="80"/>
      <c r="AU41" s="80"/>
      <c r="AV41" s="53"/>
      <c r="AW41" s="87"/>
      <c r="AX41" s="80"/>
      <c r="AY41" s="80"/>
      <c r="AZ41" s="53"/>
      <c r="BA41" s="87"/>
      <c r="BB41" s="80"/>
      <c r="BC41" s="80"/>
      <c r="BD41" s="53"/>
      <c r="BE41" s="87"/>
      <c r="BF41" s="80"/>
      <c r="BG41" s="80"/>
      <c r="BH41" s="53"/>
      <c r="BI41" s="56"/>
      <c r="BJ41" s="52"/>
      <c r="BK41" s="52"/>
      <c r="BL41" s="53"/>
      <c r="BM41" s="52"/>
      <c r="BN41" s="52"/>
      <c r="BO41" s="52"/>
      <c r="BP41" s="53"/>
      <c r="BQ41" s="80"/>
      <c r="BR41" s="80"/>
      <c r="BS41" s="80"/>
      <c r="BT41" s="53"/>
      <c r="BU41" s="81">
        <f t="shared" si="10"/>
        <v>7614771.1905122027</v>
      </c>
      <c r="BV41" s="84">
        <f>+BU41</f>
        <v>7614771.1905122027</v>
      </c>
      <c r="BW41" s="38"/>
      <c r="BX41" s="83"/>
      <c r="BZ41" s="85"/>
      <c r="CB41" s="85"/>
      <c r="CC41" s="86"/>
    </row>
    <row r="42" spans="1:82" s="5" customFormat="1" hidden="1">
      <c r="A42" s="5">
        <v>27</v>
      </c>
      <c r="C42" s="29" t="str">
        <f t="shared" si="11"/>
        <v>Base FCR</v>
      </c>
      <c r="D42" s="1493">
        <f t="shared" si="12"/>
        <v>2011</v>
      </c>
      <c r="E42" s="1113">
        <v>32160114.166666664</v>
      </c>
      <c r="F42" s="1113">
        <v>958810.85714285716</v>
      </c>
      <c r="G42" s="1113">
        <v>31201303.309523806</v>
      </c>
      <c r="H42" s="1494">
        <v>7479577.2284321627</v>
      </c>
      <c r="I42" s="1113">
        <v>36700000</v>
      </c>
      <c r="J42" s="61">
        <v>349523.80952380953</v>
      </c>
      <c r="K42" s="1113">
        <v>36350476.190476194</v>
      </c>
      <c r="L42" s="62">
        <v>3514895.8931270503</v>
      </c>
      <c r="M42" s="1113">
        <v>20000000</v>
      </c>
      <c r="N42" s="61">
        <v>190476.1904761905</v>
      </c>
      <c r="O42" s="1113">
        <v>19809523.80952381</v>
      </c>
      <c r="P42" s="62">
        <v>1915474.6011591554</v>
      </c>
      <c r="Q42" s="1113">
        <v>2000000</v>
      </c>
      <c r="R42" s="61">
        <v>19047.61904761905</v>
      </c>
      <c r="S42" s="1113">
        <v>1980952.3809523811</v>
      </c>
      <c r="T42" s="62">
        <v>191547.46011591554</v>
      </c>
      <c r="U42" s="1113">
        <v>2000000</v>
      </c>
      <c r="V42" s="61">
        <v>19047.61904761905</v>
      </c>
      <c r="W42" s="1113">
        <v>1980952.3809523811</v>
      </c>
      <c r="X42" s="62">
        <v>191547.46011591554</v>
      </c>
      <c r="Y42" s="1113">
        <v>2000000</v>
      </c>
      <c r="Z42" s="61">
        <v>19047.61904761905</v>
      </c>
      <c r="AA42" s="1113">
        <v>1980952.3809523811</v>
      </c>
      <c r="AB42" s="62">
        <v>191547.46011591554</v>
      </c>
      <c r="AC42" s="1113">
        <v>2000000</v>
      </c>
      <c r="AD42" s="61">
        <v>0</v>
      </c>
      <c r="AE42" s="1113">
        <v>2000000</v>
      </c>
      <c r="AF42" s="62">
        <v>34831.69867725217</v>
      </c>
      <c r="AG42" s="1113"/>
      <c r="AH42" s="1113"/>
      <c r="AI42" s="1113"/>
      <c r="AJ42" s="62"/>
      <c r="AK42" s="1113"/>
      <c r="AL42" s="1113"/>
      <c r="AM42" s="1113"/>
      <c r="AN42" s="62"/>
      <c r="AO42" s="1113"/>
      <c r="AP42" s="1113"/>
      <c r="AQ42" s="1113"/>
      <c r="AR42" s="62"/>
      <c r="AS42" s="1113"/>
      <c r="AT42" s="1113"/>
      <c r="AU42" s="1113"/>
      <c r="AV42" s="62"/>
      <c r="AW42" s="1113"/>
      <c r="AX42" s="1113"/>
      <c r="AY42" s="1113"/>
      <c r="AZ42" s="62"/>
      <c r="BA42" s="1113"/>
      <c r="BB42" s="1113"/>
      <c r="BC42" s="1113"/>
      <c r="BD42" s="62"/>
      <c r="BE42" s="1113"/>
      <c r="BF42" s="1113"/>
      <c r="BG42" s="1113"/>
      <c r="BH42" s="62"/>
      <c r="BI42" s="1113">
        <v>9000000</v>
      </c>
      <c r="BJ42" s="1113">
        <f>+BI$32*6/12</f>
        <v>128571.42857142857</v>
      </c>
      <c r="BK42" s="1113">
        <f t="shared" ref="BK42:BK65" si="13">+BI42-BJ42</f>
        <v>8871428.5714285709</v>
      </c>
      <c r="BL42" s="62">
        <f>+BI$29*BK42+BJ42</f>
        <v>1101162.6801868172</v>
      </c>
      <c r="BM42" s="1113"/>
      <c r="BN42" s="1113"/>
      <c r="BO42" s="1113"/>
      <c r="BP42" s="62"/>
      <c r="BQ42" s="1113"/>
      <c r="BR42" s="1113"/>
      <c r="BS42" s="1113"/>
      <c r="BT42" s="62"/>
      <c r="BU42" s="81">
        <f t="shared" si="10"/>
        <v>14620584.481930185</v>
      </c>
      <c r="BV42" s="36"/>
      <c r="BW42" s="82">
        <f t="shared" ref="BW42" si="14">+BU42</f>
        <v>14620584.481930185</v>
      </c>
      <c r="BX42" s="1495"/>
      <c r="BZ42" s="1496"/>
      <c r="CB42" s="1496"/>
    </row>
    <row r="43" spans="1:82" hidden="1">
      <c r="A43">
        <v>28</v>
      </c>
      <c r="C43" s="37" t="str">
        <f t="shared" si="11"/>
        <v>W Increased ROE</v>
      </c>
      <c r="D43" s="79">
        <f t="shared" si="12"/>
        <v>2011</v>
      </c>
      <c r="E43" s="80">
        <v>32160114.166666664</v>
      </c>
      <c r="F43" s="80">
        <v>958810.85714285716</v>
      </c>
      <c r="G43" s="80">
        <v>31201303.309523806</v>
      </c>
      <c r="H43" s="43">
        <v>7851697.6196108665</v>
      </c>
      <c r="I43" s="87">
        <v>36700000</v>
      </c>
      <c r="J43" s="52">
        <v>349523.80952380953</v>
      </c>
      <c r="K43" s="80">
        <v>36350476.190476194</v>
      </c>
      <c r="L43" s="53">
        <v>3695534.0928274468</v>
      </c>
      <c r="M43" s="87">
        <v>20000000</v>
      </c>
      <c r="N43" s="52">
        <v>190476.1904761905</v>
      </c>
      <c r="O43" s="80">
        <v>19809523.80952381</v>
      </c>
      <c r="P43" s="53">
        <v>2013915.0369631862</v>
      </c>
      <c r="Q43" s="87">
        <v>2000000</v>
      </c>
      <c r="R43" s="52">
        <v>19047.61904761905</v>
      </c>
      <c r="S43" s="80">
        <v>1980952.3809523811</v>
      </c>
      <c r="T43" s="53">
        <v>191547.46011591554</v>
      </c>
      <c r="U43" s="87">
        <v>2000000</v>
      </c>
      <c r="V43" s="52">
        <v>19047.61904761905</v>
      </c>
      <c r="W43" s="80">
        <v>1980952.3809523811</v>
      </c>
      <c r="X43" s="53">
        <v>191547.46011591554</v>
      </c>
      <c r="Y43" s="87">
        <v>2000000</v>
      </c>
      <c r="Z43" s="52">
        <v>19047.61904761905</v>
      </c>
      <c r="AA43" s="80">
        <v>1980952.3809523811</v>
      </c>
      <c r="AB43" s="53">
        <v>191547.46011591554</v>
      </c>
      <c r="AC43" s="87">
        <v>2000000</v>
      </c>
      <c r="AD43" s="52">
        <v>0</v>
      </c>
      <c r="AE43" s="80">
        <v>2000000</v>
      </c>
      <c r="AF43" s="53">
        <v>34831.69867725217</v>
      </c>
      <c r="AG43" s="87"/>
      <c r="AH43" s="80"/>
      <c r="AI43" s="80"/>
      <c r="AJ43" s="53"/>
      <c r="AK43" s="87"/>
      <c r="AL43" s="80"/>
      <c r="AM43" s="80"/>
      <c r="AN43" s="53"/>
      <c r="AO43" s="87"/>
      <c r="AP43" s="80"/>
      <c r="AQ43" s="80"/>
      <c r="AR43" s="53"/>
      <c r="AS43" s="87"/>
      <c r="AT43" s="80"/>
      <c r="AU43" s="80"/>
      <c r="AV43" s="53"/>
      <c r="AW43" s="87"/>
      <c r="AX43" s="80"/>
      <c r="AY43" s="80"/>
      <c r="AZ43" s="53"/>
      <c r="BA43" s="87"/>
      <c r="BB43" s="80"/>
      <c r="BC43" s="80"/>
      <c r="BD43" s="53"/>
      <c r="BE43" s="87"/>
      <c r="BF43" s="80"/>
      <c r="BG43" s="80"/>
      <c r="BH43" s="53"/>
      <c r="BI43" s="87">
        <f>+BI42</f>
        <v>9000000</v>
      </c>
      <c r="BJ43" s="80">
        <f>+BJ42</f>
        <v>128571.42857142857</v>
      </c>
      <c r="BK43" s="80">
        <f t="shared" si="13"/>
        <v>8871428.5714285709</v>
      </c>
      <c r="BL43" s="53">
        <f t="shared" ref="BL43:BL65" si="15">+BI$29*BK43+BJ43</f>
        <v>1101162.6801868172</v>
      </c>
      <c r="BM43" s="87"/>
      <c r="BN43" s="80"/>
      <c r="BO43" s="80"/>
      <c r="BP43" s="53"/>
      <c r="BQ43" s="80"/>
      <c r="BR43" s="80"/>
      <c r="BS43" s="80"/>
      <c r="BT43" s="53"/>
      <c r="BU43" s="81">
        <f t="shared" si="10"/>
        <v>15271783.508613314</v>
      </c>
      <c r="BV43" s="84">
        <f t="shared" ref="BV43" si="16">+BU43</f>
        <v>15271783.508613314</v>
      </c>
      <c r="BW43" s="38"/>
      <c r="BX43" s="83"/>
      <c r="BZ43" s="85"/>
      <c r="CB43" s="85"/>
      <c r="CC43" s="86"/>
    </row>
    <row r="44" spans="1:82" hidden="1">
      <c r="A44">
        <v>29</v>
      </c>
      <c r="C44" s="37" t="str">
        <f t="shared" si="11"/>
        <v>Base FCR</v>
      </c>
      <c r="D44" s="79">
        <f t="shared" si="12"/>
        <v>2012</v>
      </c>
      <c r="E44" s="80">
        <v>31201303.309523806</v>
      </c>
      <c r="F44" s="80">
        <v>958810.85714285716</v>
      </c>
      <c r="G44" s="80">
        <v>30242492.452380948</v>
      </c>
      <c r="H44" s="43">
        <v>7457763.6637097541</v>
      </c>
      <c r="I44" s="87">
        <v>36350476.190476194</v>
      </c>
      <c r="J44" s="80">
        <v>1048571.4285714285</v>
      </c>
      <c r="K44" s="80">
        <v>35301904.761904769</v>
      </c>
      <c r="L44" s="53">
        <v>8634765.3704492562</v>
      </c>
      <c r="M44" s="87">
        <v>19809523.80952381</v>
      </c>
      <c r="N44" s="80">
        <v>571428.57142857148</v>
      </c>
      <c r="O44" s="80">
        <v>19238095.238095239</v>
      </c>
      <c r="P44" s="53">
        <v>4705594.2073292946</v>
      </c>
      <c r="Q44" s="87">
        <v>1980952.3809523811</v>
      </c>
      <c r="R44" s="80">
        <v>57142.857142857145</v>
      </c>
      <c r="S44" s="80">
        <v>1923809.523809524</v>
      </c>
      <c r="T44" s="53">
        <v>470559.42073292949</v>
      </c>
      <c r="U44" s="87">
        <v>1980952.3809523811</v>
      </c>
      <c r="V44" s="80">
        <v>57142.857142857145</v>
      </c>
      <c r="W44" s="80">
        <v>1923809.523809524</v>
      </c>
      <c r="X44" s="53">
        <v>470559.42073292949</v>
      </c>
      <c r="Y44" s="87">
        <v>1980952.3809523811</v>
      </c>
      <c r="Z44" s="80">
        <v>57142.857142857145</v>
      </c>
      <c r="AA44" s="80">
        <v>1923809.523809524</v>
      </c>
      <c r="AB44" s="53">
        <v>470559.42073292949</v>
      </c>
      <c r="AC44" s="87">
        <v>2000000</v>
      </c>
      <c r="AD44" s="80">
        <v>57142.857142857145</v>
      </c>
      <c r="AE44" s="80">
        <v>1942857.142857143</v>
      </c>
      <c r="AF44" s="53">
        <v>474652.65403580148</v>
      </c>
      <c r="AG44" s="87">
        <v>15875382</v>
      </c>
      <c r="AH44" s="52">
        <v>226791.17142857143</v>
      </c>
      <c r="AI44" s="80">
        <v>15648590.828571429</v>
      </c>
      <c r="AJ44" s="53">
        <v>2188424.4983059289</v>
      </c>
      <c r="AK44" s="87">
        <v>29544357</v>
      </c>
      <c r="AL44" s="52">
        <v>422062.24285714293</v>
      </c>
      <c r="AM44" s="80">
        <v>29122294.757142857</v>
      </c>
      <c r="AN44" s="53">
        <v>4072695.3622593936</v>
      </c>
      <c r="AO44" s="87">
        <v>58581170</v>
      </c>
      <c r="AP44" s="52">
        <v>836873.85714285704</v>
      </c>
      <c r="AQ44" s="80">
        <v>57744296.142857142</v>
      </c>
      <c r="AR44" s="53">
        <v>8075425.6853425223</v>
      </c>
      <c r="AS44" s="87">
        <v>5226954</v>
      </c>
      <c r="AT44" s="52">
        <v>74670.771428571432</v>
      </c>
      <c r="AU44" s="80">
        <v>5152283.2285714289</v>
      </c>
      <c r="AV44" s="53">
        <v>720536.62614973111</v>
      </c>
      <c r="AW44" s="87"/>
      <c r="AX44" s="52"/>
      <c r="AY44" s="80"/>
      <c r="AZ44" s="53"/>
      <c r="BA44" s="87"/>
      <c r="BB44" s="52"/>
      <c r="BC44" s="80"/>
      <c r="BD44" s="53"/>
      <c r="BE44" s="87"/>
      <c r="BF44" s="52"/>
      <c r="BG44" s="80"/>
      <c r="BH44" s="53"/>
      <c r="BI44" s="87">
        <f t="shared" ref="BI44:BI74" si="17">+BK43</f>
        <v>8871428.5714285709</v>
      </c>
      <c r="BJ44" s="80">
        <f t="shared" ref="BJ44:BJ65" si="18">+BI$32</f>
        <v>257142.85714285713</v>
      </c>
      <c r="BK44" s="80">
        <f t="shared" si="13"/>
        <v>8614285.7142857146</v>
      </c>
      <c r="BL44" s="53">
        <f t="shared" si="15"/>
        <v>1201543.0579867854</v>
      </c>
      <c r="BM44" s="87"/>
      <c r="BN44" s="80"/>
      <c r="BO44" s="80"/>
      <c r="BP44" s="53"/>
      <c r="BQ44" s="87"/>
      <c r="BR44" s="52"/>
      <c r="BS44" s="80"/>
      <c r="BT44" s="53"/>
      <c r="BU44" s="81">
        <f t="shared" si="10"/>
        <v>38943079.387767255</v>
      </c>
      <c r="BV44" s="36"/>
      <c r="BW44" s="82">
        <f t="shared" ref="BW44" si="19">+BU44</f>
        <v>38943079.387767255</v>
      </c>
      <c r="BX44" s="83"/>
      <c r="BZ44" s="85"/>
      <c r="CB44" s="85"/>
    </row>
    <row r="45" spans="1:82" hidden="1">
      <c r="A45">
        <v>30</v>
      </c>
      <c r="C45" s="37" t="str">
        <f t="shared" si="11"/>
        <v>W Increased ROE</v>
      </c>
      <c r="D45" s="79">
        <f t="shared" si="12"/>
        <v>2012</v>
      </c>
      <c r="E45" s="80">
        <v>31201303.309523806</v>
      </c>
      <c r="F45" s="80">
        <v>958810.85714285716</v>
      </c>
      <c r="G45" s="80">
        <v>30242492.452380948</v>
      </c>
      <c r="H45" s="43">
        <v>7842354.4874942722</v>
      </c>
      <c r="I45" s="87">
        <v>36350476.190476194</v>
      </c>
      <c r="J45" s="80">
        <v>1048571.4285714285</v>
      </c>
      <c r="K45" s="80">
        <v>35301904.761904769</v>
      </c>
      <c r="L45" s="53">
        <v>9083696.2465971541</v>
      </c>
      <c r="M45" s="87">
        <v>19809523.80952381</v>
      </c>
      <c r="N45" s="80">
        <v>571428.57142857148</v>
      </c>
      <c r="O45" s="80">
        <v>19238095.238095239</v>
      </c>
      <c r="P45" s="53">
        <v>4950243.1861564871</v>
      </c>
      <c r="Q45" s="87">
        <v>1980952.3809523811</v>
      </c>
      <c r="R45" s="80">
        <v>57142.857142857145</v>
      </c>
      <c r="S45" s="80">
        <v>1923809.523809524</v>
      </c>
      <c r="T45" s="53">
        <v>470559.42073292949</v>
      </c>
      <c r="U45" s="87">
        <v>1980952.3809523811</v>
      </c>
      <c r="V45" s="80">
        <v>57142.857142857145</v>
      </c>
      <c r="W45" s="80">
        <v>1923809.523809524</v>
      </c>
      <c r="X45" s="53">
        <v>470559.42073292949</v>
      </c>
      <c r="Y45" s="87">
        <v>1980952.3809523811</v>
      </c>
      <c r="Z45" s="80">
        <v>57142.857142857145</v>
      </c>
      <c r="AA45" s="80">
        <v>1923809.523809524</v>
      </c>
      <c r="AB45" s="53">
        <v>470559.42073292949</v>
      </c>
      <c r="AC45" s="87">
        <v>2000000</v>
      </c>
      <c r="AD45" s="80">
        <v>57142.857142857145</v>
      </c>
      <c r="AE45" s="80">
        <v>1942857.142857143</v>
      </c>
      <c r="AF45" s="53">
        <v>474652.65403580148</v>
      </c>
      <c r="AG45" s="87">
        <v>15875382</v>
      </c>
      <c r="AH45" s="52">
        <v>226791.17142857143</v>
      </c>
      <c r="AI45" s="80">
        <v>15648590.828571429</v>
      </c>
      <c r="AJ45" s="53">
        <v>2188424.4983059289</v>
      </c>
      <c r="AK45" s="87">
        <v>29544357</v>
      </c>
      <c r="AL45" s="52">
        <v>422062.24285714293</v>
      </c>
      <c r="AM45" s="80">
        <v>29122294.757142857</v>
      </c>
      <c r="AN45" s="53">
        <v>4072695.3622593936</v>
      </c>
      <c r="AO45" s="87">
        <v>58581170</v>
      </c>
      <c r="AP45" s="52">
        <v>836873.85714285704</v>
      </c>
      <c r="AQ45" s="80">
        <v>57744296.142857142</v>
      </c>
      <c r="AR45" s="53">
        <v>8075425.6853425223</v>
      </c>
      <c r="AS45" s="87">
        <v>5226954</v>
      </c>
      <c r="AT45" s="52">
        <v>74670.771428571432</v>
      </c>
      <c r="AU45" s="80">
        <v>5152283.2285714289</v>
      </c>
      <c r="AV45" s="53">
        <v>720536.62614973111</v>
      </c>
      <c r="AW45" s="87"/>
      <c r="AX45" s="52"/>
      <c r="AY45" s="80"/>
      <c r="AZ45" s="53"/>
      <c r="BA45" s="87"/>
      <c r="BB45" s="52"/>
      <c r="BC45" s="80"/>
      <c r="BD45" s="53"/>
      <c r="BE45" s="87"/>
      <c r="BF45" s="52"/>
      <c r="BG45" s="80"/>
      <c r="BH45" s="53"/>
      <c r="BI45" s="87">
        <f>+BI44</f>
        <v>8871428.5714285709</v>
      </c>
      <c r="BJ45" s="80">
        <f t="shared" si="18"/>
        <v>257142.85714285713</v>
      </c>
      <c r="BK45" s="80">
        <f t="shared" si="13"/>
        <v>8614285.7142857146</v>
      </c>
      <c r="BL45" s="53">
        <f t="shared" si="15"/>
        <v>1201543.0579867854</v>
      </c>
      <c r="BM45" s="87"/>
      <c r="BN45" s="80"/>
      <c r="BO45" s="80"/>
      <c r="BP45" s="53"/>
      <c r="BQ45" s="87"/>
      <c r="BR45" s="52"/>
      <c r="BS45" s="80"/>
      <c r="BT45" s="53"/>
      <c r="BU45" s="81">
        <f t="shared" si="10"/>
        <v>40021250.066526867</v>
      </c>
      <c r="BV45" s="84">
        <f t="shared" ref="BV45" si="20">+BU45</f>
        <v>40021250.066526867</v>
      </c>
      <c r="BW45" s="38"/>
      <c r="BX45" s="83"/>
      <c r="BZ45" s="85"/>
      <c r="CB45" s="85"/>
    </row>
    <row r="46" spans="1:82" hidden="1">
      <c r="A46">
        <v>31</v>
      </c>
      <c r="C46" s="37" t="str">
        <f t="shared" si="11"/>
        <v>Base FCR</v>
      </c>
      <c r="D46" s="79">
        <f t="shared" si="12"/>
        <v>2013</v>
      </c>
      <c r="E46" s="80">
        <v>30242492.452380948</v>
      </c>
      <c r="F46" s="80">
        <v>958810.85714285716</v>
      </c>
      <c r="G46" s="80">
        <v>29283681.59523809</v>
      </c>
      <c r="H46" s="43">
        <v>6386712.6661578128</v>
      </c>
      <c r="I46" s="87">
        <v>35301904.761904769</v>
      </c>
      <c r="J46" s="80">
        <v>1048571.4285714285</v>
      </c>
      <c r="K46" s="80">
        <v>34253333.333333343</v>
      </c>
      <c r="L46" s="53">
        <v>7397627.2793571427</v>
      </c>
      <c r="M46" s="87">
        <v>19238095.238095239</v>
      </c>
      <c r="N46" s="80">
        <v>571428.57142857148</v>
      </c>
      <c r="O46" s="80">
        <v>18666666.666666668</v>
      </c>
      <c r="P46" s="53">
        <v>4031404.5119112488</v>
      </c>
      <c r="Q46" s="87">
        <v>1923809.523809524</v>
      </c>
      <c r="R46" s="80">
        <v>57142.857142857145</v>
      </c>
      <c r="S46" s="80">
        <v>1866666.666666667</v>
      </c>
      <c r="T46" s="53">
        <v>403140.45119112491</v>
      </c>
      <c r="U46" s="87">
        <v>1923809.523809524</v>
      </c>
      <c r="V46" s="80">
        <v>57142.857142857145</v>
      </c>
      <c r="W46" s="80">
        <v>1866666.666666667</v>
      </c>
      <c r="X46" s="53">
        <v>403140.45119112491</v>
      </c>
      <c r="Y46" s="87">
        <v>1923809.523809524</v>
      </c>
      <c r="Z46" s="80">
        <v>57142.857142857145</v>
      </c>
      <c r="AA46" s="80">
        <v>1866666.666666667</v>
      </c>
      <c r="AB46" s="53">
        <v>403140.45119112491</v>
      </c>
      <c r="AC46" s="87">
        <v>1942857.142857143</v>
      </c>
      <c r="AD46" s="80">
        <v>57142.857142857145</v>
      </c>
      <c r="AE46" s="80">
        <v>1885714.2857142859</v>
      </c>
      <c r="AF46" s="53">
        <v>406671.03888549499</v>
      </c>
      <c r="AG46" s="87">
        <v>15648590.828571429</v>
      </c>
      <c r="AH46" s="80">
        <v>453582.34285714285</v>
      </c>
      <c r="AI46" s="80">
        <v>15195008.485714287</v>
      </c>
      <c r="AJ46" s="53">
        <v>3270066.1165715116</v>
      </c>
      <c r="AK46" s="87">
        <v>29122294.757142857</v>
      </c>
      <c r="AL46" s="80">
        <v>844124.48571428575</v>
      </c>
      <c r="AM46" s="80">
        <v>28278170.27142857</v>
      </c>
      <c r="AN46" s="53">
        <v>6085648.8846436795</v>
      </c>
      <c r="AO46" s="87">
        <v>57744296.142857142</v>
      </c>
      <c r="AP46" s="80">
        <v>1673747.7142857143</v>
      </c>
      <c r="AQ46" s="80">
        <v>56070548.428571425</v>
      </c>
      <c r="AR46" s="53">
        <v>12066752.099956745</v>
      </c>
      <c r="AS46" s="87">
        <v>5152283.2285714289</v>
      </c>
      <c r="AT46" s="80">
        <v>149341.54285714286</v>
      </c>
      <c r="AU46" s="80">
        <v>5002941.6857142858</v>
      </c>
      <c r="AV46" s="53">
        <v>1076666.0712969257</v>
      </c>
      <c r="AW46" s="87">
        <v>18731954</v>
      </c>
      <c r="AX46" s="50">
        <v>267599.34285714285</v>
      </c>
      <c r="AY46" s="80">
        <v>18464354.657142859</v>
      </c>
      <c r="AZ46" s="43">
        <v>2264043.8075525668</v>
      </c>
      <c r="BA46" s="87"/>
      <c r="BB46" s="50"/>
      <c r="BC46" s="80"/>
      <c r="BD46" s="43"/>
      <c r="BE46" s="87"/>
      <c r="BF46" s="50"/>
      <c r="BG46" s="80"/>
      <c r="BH46" s="43"/>
      <c r="BI46" s="87">
        <f t="shared" si="17"/>
        <v>8614285.7142857146</v>
      </c>
      <c r="BJ46" s="80">
        <f t="shared" si="18"/>
        <v>257142.85714285713</v>
      </c>
      <c r="BK46" s="80">
        <f t="shared" si="13"/>
        <v>8357142.8571428573</v>
      </c>
      <c r="BL46" s="53">
        <f t="shared" si="15"/>
        <v>1173352.0072153248</v>
      </c>
      <c r="BM46" s="87"/>
      <c r="BN46" s="80"/>
      <c r="BO46" s="80"/>
      <c r="BP46" s="53"/>
      <c r="BQ46" s="87"/>
      <c r="BR46" s="50"/>
      <c r="BS46" s="80"/>
      <c r="BT46" s="43"/>
      <c r="BU46" s="81">
        <f t="shared" si="10"/>
        <v>45368365.837121829</v>
      </c>
      <c r="BV46" s="36"/>
      <c r="BW46" s="82">
        <f t="shared" ref="BW46" si="21">+BU46</f>
        <v>45368365.837121829</v>
      </c>
      <c r="BX46" s="83"/>
      <c r="BZ46" s="85"/>
      <c r="CB46" s="85"/>
    </row>
    <row r="47" spans="1:82" hidden="1">
      <c r="A47">
        <v>32</v>
      </c>
      <c r="C47" s="37" t="str">
        <f t="shared" si="11"/>
        <v>W Increased ROE</v>
      </c>
      <c r="D47" s="79">
        <f t="shared" si="12"/>
        <v>2013</v>
      </c>
      <c r="E47" s="80">
        <v>30242492.452380948</v>
      </c>
      <c r="F47" s="80">
        <v>958810.85714285716</v>
      </c>
      <c r="G47" s="80">
        <v>29283681.59523809</v>
      </c>
      <c r="H47" s="43">
        <v>6714616.5679272749</v>
      </c>
      <c r="I47" s="87">
        <v>35301904.761904769</v>
      </c>
      <c r="J47" s="80">
        <v>1048571.4285714285</v>
      </c>
      <c r="K47" s="80">
        <v>34253333.333333343</v>
      </c>
      <c r="L47" s="53">
        <v>7781178.8356080614</v>
      </c>
      <c r="M47" s="87">
        <v>19238095.238095239</v>
      </c>
      <c r="N47" s="80">
        <v>571428.57142857148</v>
      </c>
      <c r="O47" s="80">
        <v>18666666.666666668</v>
      </c>
      <c r="P47" s="53">
        <v>4240424.4335738746</v>
      </c>
      <c r="Q47" s="87">
        <v>1923809.523809524</v>
      </c>
      <c r="R47" s="80">
        <v>57142.857142857145</v>
      </c>
      <c r="S47" s="80">
        <v>1866666.666666667</v>
      </c>
      <c r="T47" s="53">
        <v>403140.45119112491</v>
      </c>
      <c r="U47" s="87">
        <v>1923809.523809524</v>
      </c>
      <c r="V47" s="80">
        <v>57142.857142857145</v>
      </c>
      <c r="W47" s="80">
        <v>1866666.666666667</v>
      </c>
      <c r="X47" s="53">
        <v>403140.45119112491</v>
      </c>
      <c r="Y47" s="87">
        <v>1923809.523809524</v>
      </c>
      <c r="Z47" s="80">
        <v>57142.857142857145</v>
      </c>
      <c r="AA47" s="80">
        <v>1866666.666666667</v>
      </c>
      <c r="AB47" s="53">
        <v>403140.45119112491</v>
      </c>
      <c r="AC47" s="87">
        <v>1942857.142857143</v>
      </c>
      <c r="AD47" s="80">
        <v>57142.857142857145</v>
      </c>
      <c r="AE47" s="80">
        <v>1885714.2857142859</v>
      </c>
      <c r="AF47" s="53">
        <v>406671.03888549499</v>
      </c>
      <c r="AG47" s="87">
        <v>15648590.828571429</v>
      </c>
      <c r="AH47" s="80">
        <v>453582.34285714285</v>
      </c>
      <c r="AI47" s="80">
        <v>15195008.485714287</v>
      </c>
      <c r="AJ47" s="53">
        <v>3440212.1603222406</v>
      </c>
      <c r="AK47" s="87">
        <v>29122294.757142857</v>
      </c>
      <c r="AL47" s="80">
        <v>844124.48571428575</v>
      </c>
      <c r="AM47" s="80">
        <v>28278170.27142857</v>
      </c>
      <c r="AN47" s="53">
        <v>6402293.5775845582</v>
      </c>
      <c r="AO47" s="87">
        <v>57744296.142857142</v>
      </c>
      <c r="AP47" s="80">
        <v>1673747.7142857143</v>
      </c>
      <c r="AQ47" s="80">
        <v>56070548.428571425</v>
      </c>
      <c r="AR47" s="53">
        <v>12066752.099956745</v>
      </c>
      <c r="AS47" s="87">
        <v>5152283.2285714289</v>
      </c>
      <c r="AT47" s="80">
        <v>149341.54285714286</v>
      </c>
      <c r="AU47" s="80">
        <v>5002941.6857142858</v>
      </c>
      <c r="AV47" s="53">
        <v>1076666.0712969257</v>
      </c>
      <c r="AW47" s="87">
        <v>18731954</v>
      </c>
      <c r="AX47" s="50">
        <v>267599.34285714285</v>
      </c>
      <c r="AY47" s="80">
        <v>18464354.657142859</v>
      </c>
      <c r="AZ47" s="43">
        <v>2384650.6189271589</v>
      </c>
      <c r="BA47" s="87"/>
      <c r="BB47" s="50"/>
      <c r="BC47" s="80"/>
      <c r="BD47" s="43"/>
      <c r="BE47" s="87"/>
      <c r="BF47" s="50"/>
      <c r="BG47" s="80"/>
      <c r="BH47" s="43"/>
      <c r="BI47" s="87">
        <f>+BI46</f>
        <v>8614285.7142857146</v>
      </c>
      <c r="BJ47" s="80">
        <f t="shared" si="18"/>
        <v>257142.85714285713</v>
      </c>
      <c r="BK47" s="80">
        <f t="shared" si="13"/>
        <v>8357142.8571428573</v>
      </c>
      <c r="BL47" s="53">
        <f t="shared" si="15"/>
        <v>1173352.0072153248</v>
      </c>
      <c r="BM47" s="87"/>
      <c r="BN47" s="80"/>
      <c r="BO47" s="80"/>
      <c r="BP47" s="53"/>
      <c r="BQ47" s="87"/>
      <c r="BR47" s="50"/>
      <c r="BS47" s="80"/>
      <c r="BT47" s="43"/>
      <c r="BU47" s="81">
        <f t="shared" si="10"/>
        <v>46896238.764871031</v>
      </c>
      <c r="BV47" s="84">
        <f t="shared" ref="BV47" si="22">+BU47</f>
        <v>46896238.764871031</v>
      </c>
      <c r="BW47" s="38"/>
      <c r="BX47" s="83"/>
      <c r="BY47" s="83"/>
      <c r="BZ47" s="85"/>
      <c r="CB47" s="85"/>
    </row>
    <row r="48" spans="1:82" s="5" customFormat="1" hidden="1">
      <c r="A48" s="5">
        <v>33</v>
      </c>
      <c r="C48" s="29" t="str">
        <f t="shared" si="11"/>
        <v>Base FCR</v>
      </c>
      <c r="D48" s="1493">
        <f t="shared" si="12"/>
        <v>2014</v>
      </c>
      <c r="E48" s="1113">
        <v>29283681.59523809</v>
      </c>
      <c r="F48" s="1113">
        <v>958810.85714285716</v>
      </c>
      <c r="G48" s="1113">
        <v>28324870.738095231</v>
      </c>
      <c r="H48" s="1494">
        <v>5515944.0767623195</v>
      </c>
      <c r="I48" s="1497">
        <v>34253333.333333343</v>
      </c>
      <c r="J48" s="1113">
        <v>1048571.4285714285</v>
      </c>
      <c r="K48" s="1113">
        <v>33204761.904761914</v>
      </c>
      <c r="L48" s="62">
        <v>6390820.8222193606</v>
      </c>
      <c r="M48" s="1497">
        <v>18666666.666666668</v>
      </c>
      <c r="N48" s="1113">
        <v>571428.57142857148</v>
      </c>
      <c r="O48" s="1113">
        <v>18095238.095238097</v>
      </c>
      <c r="P48" s="62">
        <v>3482736.1428988338</v>
      </c>
      <c r="Q48" s="1497">
        <v>1866666.666666667</v>
      </c>
      <c r="R48" s="1113">
        <v>57142.857142857145</v>
      </c>
      <c r="S48" s="1113">
        <v>1809523.8095238099</v>
      </c>
      <c r="T48" s="62">
        <v>348273.61428988347</v>
      </c>
      <c r="U48" s="1497">
        <v>1866666.666666667</v>
      </c>
      <c r="V48" s="1113">
        <v>57142.857142857145</v>
      </c>
      <c r="W48" s="1113">
        <v>1809523.8095238099</v>
      </c>
      <c r="X48" s="62">
        <v>348273.61428988347</v>
      </c>
      <c r="Y48" s="1497">
        <v>1866666.666666667</v>
      </c>
      <c r="Z48" s="1113">
        <v>57142.857142857145</v>
      </c>
      <c r="AA48" s="1113">
        <v>1809523.8095238099</v>
      </c>
      <c r="AB48" s="62">
        <v>348273.61428988347</v>
      </c>
      <c r="AC48" s="1497">
        <v>1885714.2857142859</v>
      </c>
      <c r="AD48" s="1113">
        <v>57142.857142857145</v>
      </c>
      <c r="AE48" s="1113">
        <v>1828571.4285714289</v>
      </c>
      <c r="AF48" s="62">
        <v>351338.14857564162</v>
      </c>
      <c r="AG48" s="1497">
        <v>15195008.485714287</v>
      </c>
      <c r="AH48" s="1113">
        <v>453582.34285714285</v>
      </c>
      <c r="AI48" s="1113">
        <v>14741426.142857144</v>
      </c>
      <c r="AJ48" s="62">
        <v>2825301.6492344141</v>
      </c>
      <c r="AK48" s="1497">
        <v>28278170.27142857</v>
      </c>
      <c r="AL48" s="1113">
        <v>844124.48571428575</v>
      </c>
      <c r="AM48" s="1113">
        <v>27434045.785714284</v>
      </c>
      <c r="AN48" s="62">
        <v>5257934.6158517813</v>
      </c>
      <c r="AO48" s="1497">
        <v>56070548.428571425</v>
      </c>
      <c r="AP48" s="1113">
        <v>1673747.7142857143</v>
      </c>
      <c r="AQ48" s="1113">
        <v>54396800.714285709</v>
      </c>
      <c r="AR48" s="62">
        <v>10425542.907571077</v>
      </c>
      <c r="AS48" s="1497">
        <v>5002941.6857142858</v>
      </c>
      <c r="AT48" s="1113">
        <v>149341.54285714286</v>
      </c>
      <c r="AU48" s="1113">
        <v>4853600.1428571427</v>
      </c>
      <c r="AV48" s="62">
        <v>930227.8053323325</v>
      </c>
      <c r="AW48" s="1497">
        <v>18754204.657142859</v>
      </c>
      <c r="AX48" s="1113">
        <v>543480.11428571434</v>
      </c>
      <c r="AY48" s="1113">
        <v>18210724.542857144</v>
      </c>
      <c r="AZ48" s="62">
        <v>3473368.0751150986</v>
      </c>
      <c r="BA48" s="1497">
        <v>59051650</v>
      </c>
      <c r="BB48" s="1498">
        <v>281198.33333333331</v>
      </c>
      <c r="BC48" s="1113">
        <v>58770451.666666664</v>
      </c>
      <c r="BD48" s="62">
        <v>9736661.6997379884</v>
      </c>
      <c r="BE48" s="1497"/>
      <c r="BF48" s="1498"/>
      <c r="BG48" s="1113"/>
      <c r="BH48" s="62"/>
      <c r="BI48" s="87">
        <f t="shared" si="17"/>
        <v>8357142.8571428573</v>
      </c>
      <c r="BJ48" s="1113">
        <f t="shared" si="18"/>
        <v>257142.85714285713</v>
      </c>
      <c r="BK48" s="1113">
        <f t="shared" si="13"/>
        <v>8100000</v>
      </c>
      <c r="BL48" s="62">
        <f t="shared" si="15"/>
        <v>1145160.9564438642</v>
      </c>
      <c r="BM48" s="1113">
        <v>39000000</v>
      </c>
      <c r="BN48" s="1113">
        <f>+BM$32*6/12</f>
        <v>557142.85714285716</v>
      </c>
      <c r="BO48" s="1113">
        <f t="shared" ref="BO48:BO69" si="23">+BM48-BN48</f>
        <v>38442857.142857142</v>
      </c>
      <c r="BP48" s="62">
        <f>+BM$29*BO48+BN48</f>
        <v>4771704.9474762082</v>
      </c>
      <c r="BQ48" s="1113"/>
      <c r="BR48" s="1113"/>
      <c r="BS48" s="1113"/>
      <c r="BT48" s="62"/>
      <c r="BU48" s="81">
        <f t="shared" si="10"/>
        <v>55351562.69008857</v>
      </c>
      <c r="BV48" s="36"/>
      <c r="BW48" s="82">
        <f t="shared" ref="BW48" si="24">+BU48</f>
        <v>55351562.69008857</v>
      </c>
      <c r="BZ48" s="1496"/>
    </row>
    <row r="49" spans="1:78" hidden="1">
      <c r="A49">
        <v>34</v>
      </c>
      <c r="C49" s="37" t="str">
        <f t="shared" si="11"/>
        <v>W Increased ROE</v>
      </c>
      <c r="D49" s="79">
        <f t="shared" si="12"/>
        <v>2014</v>
      </c>
      <c r="E49" s="80">
        <v>29283681.59523809</v>
      </c>
      <c r="F49" s="80">
        <v>958810.85714285716</v>
      </c>
      <c r="G49" s="80">
        <v>28324870.738095231</v>
      </c>
      <c r="H49" s="43">
        <v>5811190.3036262281</v>
      </c>
      <c r="I49" s="87">
        <v>34253333.333333343</v>
      </c>
      <c r="J49" s="80">
        <v>1048571.4285714285</v>
      </c>
      <c r="K49" s="80">
        <v>33204761.904761914</v>
      </c>
      <c r="L49" s="53">
        <v>6736932.9283237038</v>
      </c>
      <c r="M49" s="87">
        <v>18666666.666666668</v>
      </c>
      <c r="N49" s="80">
        <v>571428.57142857148</v>
      </c>
      <c r="O49" s="80">
        <v>18095238.095238097</v>
      </c>
      <c r="P49" s="53">
        <v>3671353.0944543341</v>
      </c>
      <c r="Q49" s="87">
        <v>1866666.666666667</v>
      </c>
      <c r="R49" s="80">
        <v>57142.857142857145</v>
      </c>
      <c r="S49" s="80">
        <v>1809523.8095238099</v>
      </c>
      <c r="T49" s="53">
        <v>348273.61428988347</v>
      </c>
      <c r="U49" s="87">
        <v>1866666.666666667</v>
      </c>
      <c r="V49" s="80">
        <v>57142.857142857145</v>
      </c>
      <c r="W49" s="80">
        <v>1809523.8095238099</v>
      </c>
      <c r="X49" s="53">
        <v>348273.61428988347</v>
      </c>
      <c r="Y49" s="87">
        <v>1866666.666666667</v>
      </c>
      <c r="Z49" s="80">
        <v>57142.857142857145</v>
      </c>
      <c r="AA49" s="80">
        <v>1809523.8095238099</v>
      </c>
      <c r="AB49" s="53">
        <v>348273.61428988347</v>
      </c>
      <c r="AC49" s="87">
        <v>1885714.2857142859</v>
      </c>
      <c r="AD49" s="80">
        <v>57142.857142857145</v>
      </c>
      <c r="AE49" s="80">
        <v>1828571.4285714289</v>
      </c>
      <c r="AF49" s="53">
        <v>351338.14857564162</v>
      </c>
      <c r="AG49" s="87">
        <v>15195008.485714287</v>
      </c>
      <c r="AH49" s="80">
        <v>453582.34285714285</v>
      </c>
      <c r="AI49" s="80">
        <v>14741426.142857144</v>
      </c>
      <c r="AJ49" s="53">
        <v>2978959.9125859183</v>
      </c>
      <c r="AK49" s="87">
        <v>28278170.27142857</v>
      </c>
      <c r="AL49" s="80">
        <v>844124.48571428575</v>
      </c>
      <c r="AM49" s="80">
        <v>27434045.785714284</v>
      </c>
      <c r="AN49" s="53">
        <v>5543895.2679140037</v>
      </c>
      <c r="AO49" s="87">
        <v>56070548.428571425</v>
      </c>
      <c r="AP49" s="80">
        <v>1673747.7142857143</v>
      </c>
      <c r="AQ49" s="80">
        <v>54396800.714285709</v>
      </c>
      <c r="AR49" s="53">
        <v>10425542.907571077</v>
      </c>
      <c r="AS49" s="87">
        <v>5002941.6857142858</v>
      </c>
      <c r="AT49" s="80">
        <v>149341.54285714286</v>
      </c>
      <c r="AU49" s="80">
        <v>4853600.1428571427</v>
      </c>
      <c r="AV49" s="53">
        <v>930227.8053323325</v>
      </c>
      <c r="AW49" s="87">
        <v>18754204.657142859</v>
      </c>
      <c r="AX49" s="80">
        <v>543480.11428571434</v>
      </c>
      <c r="AY49" s="80">
        <v>18210724.542857144</v>
      </c>
      <c r="AZ49" s="53">
        <v>3663188.8075537924</v>
      </c>
      <c r="BA49" s="87">
        <v>59051650</v>
      </c>
      <c r="BB49" s="50">
        <v>281198.33333333331</v>
      </c>
      <c r="BC49" s="80">
        <v>58770451.666666664</v>
      </c>
      <c r="BD49" s="53">
        <v>9736661.6997379884</v>
      </c>
      <c r="BE49" s="87"/>
      <c r="BF49" s="50"/>
      <c r="BG49" s="80"/>
      <c r="BH49" s="53"/>
      <c r="BI49" s="87">
        <f>+BI48</f>
        <v>8357142.8571428573</v>
      </c>
      <c r="BJ49" s="80">
        <f t="shared" si="18"/>
        <v>257142.85714285713</v>
      </c>
      <c r="BK49" s="80">
        <f t="shared" si="13"/>
        <v>8100000</v>
      </c>
      <c r="BL49" s="53">
        <f t="shared" si="15"/>
        <v>1145160.9564438642</v>
      </c>
      <c r="BM49" s="87">
        <f>+BM48</f>
        <v>39000000</v>
      </c>
      <c r="BN49" s="80">
        <f>+BN48</f>
        <v>557142.85714285716</v>
      </c>
      <c r="BO49" s="80">
        <f t="shared" si="23"/>
        <v>38442857.142857142</v>
      </c>
      <c r="BP49" s="53">
        <f t="shared" ref="BP49:BP69" si="25">+BM$29*BO49+BN49</f>
        <v>4771704.9474762082</v>
      </c>
      <c r="BQ49" s="87"/>
      <c r="BR49" s="80"/>
      <c r="BS49" s="80"/>
      <c r="BT49" s="53"/>
      <c r="BU49" s="81">
        <f t="shared" si="10"/>
        <v>56810977.622464739</v>
      </c>
      <c r="BV49" s="84">
        <f t="shared" ref="BV49" si="26">+BU49</f>
        <v>56810977.622464739</v>
      </c>
      <c r="BW49" s="38"/>
      <c r="BX49" s="83"/>
      <c r="BY49" s="83"/>
      <c r="BZ49" s="85"/>
    </row>
    <row r="50" spans="1:78" hidden="1">
      <c r="A50">
        <v>35</v>
      </c>
      <c r="C50" s="37" t="str">
        <f t="shared" si="11"/>
        <v>Base FCR</v>
      </c>
      <c r="D50" s="79">
        <f t="shared" si="12"/>
        <v>2015</v>
      </c>
      <c r="E50" s="80">
        <v>28324870.738095231</v>
      </c>
      <c r="F50" s="80">
        <v>958810.85714285716</v>
      </c>
      <c r="G50" s="80">
        <v>27366059.880952373</v>
      </c>
      <c r="H50" s="43">
        <v>5287303.3377984744</v>
      </c>
      <c r="I50" s="87">
        <v>33204761.904761914</v>
      </c>
      <c r="J50" s="80">
        <v>1048571.4285714285</v>
      </c>
      <c r="K50" s="80">
        <v>32156190.476190485</v>
      </c>
      <c r="L50" s="53">
        <v>6134719.35370987</v>
      </c>
      <c r="M50" s="87">
        <v>18095238.095238097</v>
      </c>
      <c r="N50" s="80">
        <v>571428.57142857148</v>
      </c>
      <c r="O50" s="80">
        <v>17523809.523809526</v>
      </c>
      <c r="P50" s="53">
        <v>3343171.3099236349</v>
      </c>
      <c r="Q50" s="87">
        <v>1809523.8095238099</v>
      </c>
      <c r="R50" s="80">
        <v>57142.857142857145</v>
      </c>
      <c r="S50" s="80">
        <v>1752380.9523809529</v>
      </c>
      <c r="T50" s="53">
        <v>334317.13099236356</v>
      </c>
      <c r="U50" s="87">
        <v>1809523.8095238099</v>
      </c>
      <c r="V50" s="80">
        <v>57142.857142857145</v>
      </c>
      <c r="W50" s="80">
        <v>1752380.9523809529</v>
      </c>
      <c r="X50" s="53">
        <v>334317.13099236356</v>
      </c>
      <c r="Y50" s="87">
        <v>1809523.8095238099</v>
      </c>
      <c r="Z50" s="80">
        <v>57142.857142857145</v>
      </c>
      <c r="AA50" s="80">
        <v>1752380.9523809529</v>
      </c>
      <c r="AB50" s="53">
        <v>334317.13099236356</v>
      </c>
      <c r="AC50" s="87">
        <v>1828571.4285714289</v>
      </c>
      <c r="AD50" s="80">
        <v>57142.857142857145</v>
      </c>
      <c r="AE50" s="80">
        <v>1771428.5714285718</v>
      </c>
      <c r="AF50" s="53">
        <v>337329.8948385538</v>
      </c>
      <c r="AG50" s="87">
        <v>14741426.142857144</v>
      </c>
      <c r="AH50" s="80">
        <v>453582.34285714285</v>
      </c>
      <c r="AI50" s="80">
        <v>14287843.800000001</v>
      </c>
      <c r="AJ50" s="53">
        <v>2713492.0529914796</v>
      </c>
      <c r="AK50" s="87">
        <v>27434045.785714284</v>
      </c>
      <c r="AL50" s="80">
        <v>844124.48571428575</v>
      </c>
      <c r="AM50" s="80">
        <v>26589921.299999997</v>
      </c>
      <c r="AN50" s="53">
        <v>5049855.0479127476</v>
      </c>
      <c r="AO50" s="87">
        <v>54396800.714285709</v>
      </c>
      <c r="AP50" s="80">
        <v>1673747.7142857143</v>
      </c>
      <c r="AQ50" s="80">
        <v>52723052.999999993</v>
      </c>
      <c r="AR50" s="53">
        <v>10012958.381092364</v>
      </c>
      <c r="AS50" s="87">
        <v>4853600.1428571427</v>
      </c>
      <c r="AT50" s="80">
        <v>149341.54285714286</v>
      </c>
      <c r="AU50" s="80">
        <v>4704258.5999999996</v>
      </c>
      <c r="AV50" s="53">
        <v>893414.6051006536</v>
      </c>
      <c r="AW50" s="87">
        <v>18210724.542857144</v>
      </c>
      <c r="AX50" s="80">
        <v>543480.11428571434</v>
      </c>
      <c r="AY50" s="80">
        <v>17667244.428571429</v>
      </c>
      <c r="AZ50" s="53">
        <v>3337909.9662865694</v>
      </c>
      <c r="BA50" s="87">
        <v>51571153.856666662</v>
      </c>
      <c r="BB50" s="80">
        <v>1481495.7768571428</v>
      </c>
      <c r="BC50" s="80">
        <v>50089658.079809517</v>
      </c>
      <c r="BD50" s="53">
        <v>9404182.1007285137</v>
      </c>
      <c r="BE50" s="87">
        <v>8172728.0800000001</v>
      </c>
      <c r="BF50" s="50">
        <v>194588.76380952381</v>
      </c>
      <c r="BG50" s="80">
        <v>7978139.3161904765</v>
      </c>
      <c r="BH50" s="53">
        <v>1456491.8726231416</v>
      </c>
      <c r="BI50" s="87">
        <f t="shared" si="17"/>
        <v>8100000</v>
      </c>
      <c r="BJ50" s="80">
        <f t="shared" si="18"/>
        <v>257142.85714285713</v>
      </c>
      <c r="BK50" s="80">
        <f t="shared" si="13"/>
        <v>7842857.1428571427</v>
      </c>
      <c r="BL50" s="53">
        <f t="shared" si="15"/>
        <v>1116969.9056724038</v>
      </c>
      <c r="BM50" s="87">
        <f t="shared" ref="BM50" si="27">+BO49</f>
        <v>38442857.142857142</v>
      </c>
      <c r="BN50" s="80">
        <f t="shared" ref="BN50:BN69" si="28">+BM$32</f>
        <v>1114285.7142857143</v>
      </c>
      <c r="BO50" s="80">
        <f t="shared" si="23"/>
        <v>37328571.428571425</v>
      </c>
      <c r="BP50" s="53">
        <f t="shared" si="25"/>
        <v>5206686.5846094033</v>
      </c>
      <c r="BQ50" s="1113">
        <v>9200000</v>
      </c>
      <c r="BR50" s="1113">
        <f>+BQ$32*6/12</f>
        <v>131428.57142857142</v>
      </c>
      <c r="BS50" s="1113">
        <f t="shared" ref="BS50:BS69" si="29">+BQ50-BR50</f>
        <v>9068571.4285714291</v>
      </c>
      <c r="BT50" s="62">
        <f>+BQ$29*BS50+BR50</f>
        <v>1125632.9619687467</v>
      </c>
      <c r="BU50" s="81">
        <f t="shared" si="10"/>
        <v>56423068.768233642</v>
      </c>
      <c r="BV50" s="36"/>
      <c r="BW50" s="82">
        <f t="shared" ref="BW50" si="30">+BU50</f>
        <v>56423068.768233642</v>
      </c>
      <c r="BX50" s="88"/>
    </row>
    <row r="51" spans="1:78" hidden="1">
      <c r="A51">
        <v>36</v>
      </c>
      <c r="C51" s="37" t="str">
        <f t="shared" si="11"/>
        <v>W Increased ROE</v>
      </c>
      <c r="D51" s="79">
        <f t="shared" si="12"/>
        <v>2015</v>
      </c>
      <c r="E51" s="80">
        <v>28324870.738095231</v>
      </c>
      <c r="F51" s="80">
        <v>958810.85714285716</v>
      </c>
      <c r="G51" s="80">
        <v>27366059.880952373</v>
      </c>
      <c r="H51" s="43">
        <v>5573507.9207597012</v>
      </c>
      <c r="I51" s="87">
        <v>33204761.904761914</v>
      </c>
      <c r="J51" s="80">
        <v>1048571.4285714285</v>
      </c>
      <c r="K51" s="80">
        <v>32156190.476190485</v>
      </c>
      <c r="L51" s="53">
        <v>6471020.9303670796</v>
      </c>
      <c r="M51" s="87">
        <v>18095238.095238097</v>
      </c>
      <c r="N51" s="80">
        <v>571428.57142857148</v>
      </c>
      <c r="O51" s="80">
        <v>17523809.523809526</v>
      </c>
      <c r="P51" s="53">
        <v>3526441.9239057652</v>
      </c>
      <c r="Q51" s="87">
        <v>1809523.8095238099</v>
      </c>
      <c r="R51" s="80">
        <v>57142.857142857145</v>
      </c>
      <c r="S51" s="80">
        <v>1752380.9523809529</v>
      </c>
      <c r="T51" s="53">
        <v>334317.13099236356</v>
      </c>
      <c r="U51" s="87">
        <v>1809523.8095238099</v>
      </c>
      <c r="V51" s="80">
        <v>57142.857142857145</v>
      </c>
      <c r="W51" s="80">
        <v>1752380.9523809529</v>
      </c>
      <c r="X51" s="53">
        <v>334317.13099236356</v>
      </c>
      <c r="Y51" s="87">
        <v>1809523.8095238099</v>
      </c>
      <c r="Z51" s="80">
        <v>57142.857142857145</v>
      </c>
      <c r="AA51" s="80">
        <v>1752380.9523809529</v>
      </c>
      <c r="AB51" s="53">
        <v>334317.13099236356</v>
      </c>
      <c r="AC51" s="87">
        <v>1828571.4285714289</v>
      </c>
      <c r="AD51" s="80">
        <v>57142.857142857145</v>
      </c>
      <c r="AE51" s="80">
        <v>1771428.5714285718</v>
      </c>
      <c r="AF51" s="53">
        <v>337329.8948385538</v>
      </c>
      <c r="AG51" s="87">
        <v>14741426.142857144</v>
      </c>
      <c r="AH51" s="80">
        <v>453582.34285714285</v>
      </c>
      <c r="AI51" s="80">
        <v>14287843.800000001</v>
      </c>
      <c r="AJ51" s="53">
        <v>2862919.7160888771</v>
      </c>
      <c r="AK51" s="87">
        <v>27434045.785714284</v>
      </c>
      <c r="AL51" s="80">
        <v>844124.48571428575</v>
      </c>
      <c r="AM51" s="80">
        <v>26589921.299999997</v>
      </c>
      <c r="AN51" s="53">
        <v>5327942.4806576883</v>
      </c>
      <c r="AO51" s="87">
        <v>54396800.714285709</v>
      </c>
      <c r="AP51" s="80">
        <v>1673747.7142857143</v>
      </c>
      <c r="AQ51" s="80">
        <v>52723052.999999993</v>
      </c>
      <c r="AR51" s="53">
        <v>10012958.381092364</v>
      </c>
      <c r="AS51" s="87">
        <v>4853600.1428571427</v>
      </c>
      <c r="AT51" s="80">
        <v>149341.54285714286</v>
      </c>
      <c r="AU51" s="80">
        <v>4704258.5999999996</v>
      </c>
      <c r="AV51" s="53">
        <v>893414.6051006536</v>
      </c>
      <c r="AW51" s="87">
        <v>18210724.542857144</v>
      </c>
      <c r="AX51" s="80">
        <v>543480.11428571434</v>
      </c>
      <c r="AY51" s="80">
        <v>17667244.428571429</v>
      </c>
      <c r="AZ51" s="53">
        <v>3522680.6766390959</v>
      </c>
      <c r="BA51" s="87">
        <v>51571153.856666662</v>
      </c>
      <c r="BB51" s="80">
        <v>1481495.7768571428</v>
      </c>
      <c r="BC51" s="80">
        <v>50089658.079809517</v>
      </c>
      <c r="BD51" s="53">
        <v>9404182.1007285137</v>
      </c>
      <c r="BE51" s="87">
        <v>8172728.0800000001</v>
      </c>
      <c r="BF51" s="50">
        <v>194588.76380952381</v>
      </c>
      <c r="BG51" s="80">
        <v>7978139.3161904765</v>
      </c>
      <c r="BH51" s="53">
        <v>1456491.8726231416</v>
      </c>
      <c r="BI51" s="87">
        <f>+BI50</f>
        <v>8100000</v>
      </c>
      <c r="BJ51" s="80">
        <f t="shared" si="18"/>
        <v>257142.85714285713</v>
      </c>
      <c r="BK51" s="80">
        <f t="shared" si="13"/>
        <v>7842857.1428571427</v>
      </c>
      <c r="BL51" s="53">
        <f t="shared" si="15"/>
        <v>1116969.9056724038</v>
      </c>
      <c r="BM51" s="87">
        <f>+BM50</f>
        <v>38442857.142857142</v>
      </c>
      <c r="BN51" s="80">
        <f t="shared" si="28"/>
        <v>1114285.7142857143</v>
      </c>
      <c r="BO51" s="80">
        <f t="shared" si="23"/>
        <v>37328571.428571425</v>
      </c>
      <c r="BP51" s="53">
        <f t="shared" si="25"/>
        <v>5206686.5846094033</v>
      </c>
      <c r="BQ51" s="87">
        <f>+BQ50</f>
        <v>9200000</v>
      </c>
      <c r="BR51" s="80">
        <f>+BR50</f>
        <v>131428.57142857142</v>
      </c>
      <c r="BS51" s="80">
        <f t="shared" si="29"/>
        <v>9068571.4285714291</v>
      </c>
      <c r="BT51" s="53">
        <f t="shared" ref="BT51:BT69" si="31">+BQ$29*BS51+BR51</f>
        <v>1125632.9619687467</v>
      </c>
      <c r="BU51" s="81">
        <f t="shared" si="10"/>
        <v>57841131.348029077</v>
      </c>
      <c r="BV51" s="84">
        <f t="shared" ref="BV51" si="32">+BU51</f>
        <v>57841131.348029077</v>
      </c>
      <c r="BW51" s="38"/>
      <c r="BX51" s="83"/>
    </row>
    <row r="52" spans="1:78" hidden="1">
      <c r="A52">
        <v>37</v>
      </c>
      <c r="C52" s="37" t="str">
        <f t="shared" si="11"/>
        <v>Base FCR</v>
      </c>
      <c r="D52" s="79">
        <f t="shared" si="12"/>
        <v>2016</v>
      </c>
      <c r="E52" s="80">
        <v>27366059.880952373</v>
      </c>
      <c r="F52" s="80">
        <v>958810.85714285716</v>
      </c>
      <c r="G52" s="80">
        <v>26407249.023809515</v>
      </c>
      <c r="H52" s="43">
        <v>4840416.2817078773</v>
      </c>
      <c r="I52" s="87">
        <v>32156190.476190485</v>
      </c>
      <c r="J52" s="80">
        <v>1048571.4285714285</v>
      </c>
      <c r="K52" s="80">
        <v>31107619.047619056</v>
      </c>
      <c r="L52" s="53">
        <v>5621084.9354373254</v>
      </c>
      <c r="M52" s="87">
        <v>17523809.523809526</v>
      </c>
      <c r="N52" s="80">
        <v>571428.57142857148</v>
      </c>
      <c r="O52" s="80">
        <v>16952380.952380955</v>
      </c>
      <c r="P52" s="53">
        <v>3063261.5451974524</v>
      </c>
      <c r="Q52" s="87">
        <v>1752380.9523809529</v>
      </c>
      <c r="R52" s="80">
        <v>57142.857142857145</v>
      </c>
      <c r="S52" s="80">
        <v>1695238.0952380958</v>
      </c>
      <c r="T52" s="53">
        <v>306326.15451974527</v>
      </c>
      <c r="U52" s="87">
        <v>1752380.9523809529</v>
      </c>
      <c r="V52" s="80">
        <v>57142.857142857145</v>
      </c>
      <c r="W52" s="80">
        <v>1695238.0952380958</v>
      </c>
      <c r="X52" s="53">
        <v>306326.15451974527</v>
      </c>
      <c r="Y52" s="87">
        <v>1752380.9523809529</v>
      </c>
      <c r="Z52" s="80">
        <v>57142.857142857145</v>
      </c>
      <c r="AA52" s="80">
        <v>1695238.0952380958</v>
      </c>
      <c r="AB52" s="53">
        <v>306326.15451974527</v>
      </c>
      <c r="AC52" s="87">
        <v>1771428.5714285718</v>
      </c>
      <c r="AD52" s="80">
        <v>57142.857142857145</v>
      </c>
      <c r="AE52" s="80">
        <v>1714285.7142857148</v>
      </c>
      <c r="AF52" s="53">
        <v>309125.96684982267</v>
      </c>
      <c r="AG52" s="87">
        <v>14287843.800000001</v>
      </c>
      <c r="AH52" s="80">
        <v>453582.34285714285</v>
      </c>
      <c r="AI52" s="80">
        <v>13834261.457142858</v>
      </c>
      <c r="AJ52" s="53">
        <v>2487082.4726313516</v>
      </c>
      <c r="AK52" s="87">
        <v>26589921.299999997</v>
      </c>
      <c r="AL52" s="80">
        <v>844124.48571428575</v>
      </c>
      <c r="AM52" s="80">
        <v>25745796.81428571</v>
      </c>
      <c r="AN52" s="53">
        <v>4628502.9525502678</v>
      </c>
      <c r="AO52" s="87">
        <v>52723052.999999993</v>
      </c>
      <c r="AP52" s="80">
        <v>1673747.7142857143</v>
      </c>
      <c r="AQ52" s="80">
        <v>51049305.285714276</v>
      </c>
      <c r="AR52" s="53">
        <v>9177492.6192791797</v>
      </c>
      <c r="AS52" s="87">
        <v>4704258.5999999996</v>
      </c>
      <c r="AT52" s="80">
        <v>149341.54285714286</v>
      </c>
      <c r="AU52" s="80">
        <v>4554917.0571428565</v>
      </c>
      <c r="AV52" s="53">
        <v>818869.47215823422</v>
      </c>
      <c r="AW52" s="87">
        <v>17667244.428571429</v>
      </c>
      <c r="AX52" s="80">
        <v>543480.11428571434</v>
      </c>
      <c r="AY52" s="80">
        <v>17123764.314285714</v>
      </c>
      <c r="AZ52" s="53">
        <v>3060504.753670726</v>
      </c>
      <c r="BA52" s="87">
        <v>50089658.079809517</v>
      </c>
      <c r="BB52" s="80">
        <v>1481495.7768571428</v>
      </c>
      <c r="BC52" s="80">
        <v>48608162.302952372</v>
      </c>
      <c r="BD52" s="53">
        <v>8626416.7151631266</v>
      </c>
      <c r="BE52" s="87">
        <v>8428916.2361904755</v>
      </c>
      <c r="BF52" s="80">
        <v>246385.85714285713</v>
      </c>
      <c r="BG52" s="80">
        <v>8182530.3790476182</v>
      </c>
      <c r="BH52" s="53">
        <v>1449137.2030836015</v>
      </c>
      <c r="BI52" s="87">
        <f t="shared" si="17"/>
        <v>7842857.1428571427</v>
      </c>
      <c r="BJ52" s="80">
        <f t="shared" si="18"/>
        <v>257142.85714285713</v>
      </c>
      <c r="BK52" s="80">
        <f t="shared" si="13"/>
        <v>7585714.2857142854</v>
      </c>
      <c r="BL52" s="53">
        <f t="shared" si="15"/>
        <v>1088778.8549009431</v>
      </c>
      <c r="BM52" s="87">
        <f t="shared" ref="BM52" si="33">+BO51</f>
        <v>37328571.428571425</v>
      </c>
      <c r="BN52" s="80">
        <f t="shared" si="28"/>
        <v>1114285.7142857143</v>
      </c>
      <c r="BO52" s="80">
        <f t="shared" si="23"/>
        <v>36214285.714285709</v>
      </c>
      <c r="BP52" s="53">
        <f t="shared" si="25"/>
        <v>5084525.3645997401</v>
      </c>
      <c r="BQ52" s="87">
        <f t="shared" ref="BQ52" si="34">+BS51</f>
        <v>9068571.4285714291</v>
      </c>
      <c r="BR52" s="80">
        <f t="shared" ref="BR52:BR69" si="35">+BQ$32</f>
        <v>262857.14285714284</v>
      </c>
      <c r="BS52" s="80">
        <f t="shared" si="29"/>
        <v>8805714.2857142854</v>
      </c>
      <c r="BT52" s="53">
        <f t="shared" si="31"/>
        <v>1228244.0148309362</v>
      </c>
      <c r="BU52" s="81">
        <f t="shared" si="10"/>
        <v>52402421.615619823</v>
      </c>
      <c r="BV52" s="36"/>
      <c r="BW52" s="82">
        <f t="shared" ref="BW52" si="36">+BU52</f>
        <v>52402421.615619823</v>
      </c>
      <c r="BX52" s="83"/>
      <c r="BY52" s="83"/>
    </row>
    <row r="53" spans="1:78" hidden="1">
      <c r="A53">
        <v>38</v>
      </c>
      <c r="C53" s="37" t="str">
        <f t="shared" si="11"/>
        <v>W Increased ROE</v>
      </c>
      <c r="D53" s="79">
        <f t="shared" si="12"/>
        <v>2016</v>
      </c>
      <c r="E53" s="80">
        <v>27366059.880952373</v>
      </c>
      <c r="F53" s="80">
        <v>958810.85714285716</v>
      </c>
      <c r="G53" s="80">
        <v>26407249.023809515</v>
      </c>
      <c r="H53" s="43">
        <v>5095128.4630050119</v>
      </c>
      <c r="I53" s="87">
        <v>32156190.476190485</v>
      </c>
      <c r="J53" s="80">
        <v>1048571.4285714285</v>
      </c>
      <c r="K53" s="80">
        <v>31107619.047619056</v>
      </c>
      <c r="L53" s="53">
        <v>5921134.7246234417</v>
      </c>
      <c r="M53" s="87">
        <v>17523809.523809526</v>
      </c>
      <c r="N53" s="80">
        <v>571428.57142857148</v>
      </c>
      <c r="O53" s="80">
        <v>16952380.952380955</v>
      </c>
      <c r="P53" s="53">
        <v>3226776.4166885237</v>
      </c>
      <c r="Q53" s="87">
        <v>1752380.9523809529</v>
      </c>
      <c r="R53" s="80">
        <v>57142.857142857145</v>
      </c>
      <c r="S53" s="80">
        <v>1695238.0952380958</v>
      </c>
      <c r="T53" s="53">
        <v>306326.15451974527</v>
      </c>
      <c r="U53" s="87">
        <v>1752380.9523809529</v>
      </c>
      <c r="V53" s="80">
        <v>57142.857142857145</v>
      </c>
      <c r="W53" s="80">
        <v>1695238.0952380958</v>
      </c>
      <c r="X53" s="53">
        <v>306326.15451974527</v>
      </c>
      <c r="Y53" s="87">
        <v>1752380.9523809529</v>
      </c>
      <c r="Z53" s="80">
        <v>57142.857142857145</v>
      </c>
      <c r="AA53" s="80">
        <v>1695238.0952380958</v>
      </c>
      <c r="AB53" s="53">
        <v>306326.15451974527</v>
      </c>
      <c r="AC53" s="87">
        <v>1771428.5714285718</v>
      </c>
      <c r="AD53" s="80">
        <v>57142.857142857145</v>
      </c>
      <c r="AE53" s="80">
        <v>1714285.7142857148</v>
      </c>
      <c r="AF53" s="53">
        <v>309125.96684982267</v>
      </c>
      <c r="AG53" s="87">
        <v>14287843.800000001</v>
      </c>
      <c r="AH53" s="80">
        <v>453582.34285714285</v>
      </c>
      <c r="AI53" s="80">
        <v>13834261.457142858</v>
      </c>
      <c r="AJ53" s="53">
        <v>2620521.397269303</v>
      </c>
      <c r="AK53" s="87">
        <v>26589921.299999997</v>
      </c>
      <c r="AL53" s="80">
        <v>844124.48571428575</v>
      </c>
      <c r="AM53" s="80">
        <v>25745796.81428571</v>
      </c>
      <c r="AN53" s="53">
        <v>4876835.0699884323</v>
      </c>
      <c r="AO53" s="87">
        <v>52723052.999999993</v>
      </c>
      <c r="AP53" s="80">
        <v>1673747.7142857143</v>
      </c>
      <c r="AQ53" s="80">
        <v>51049305.285714276</v>
      </c>
      <c r="AR53" s="53">
        <v>9177492.6192791797</v>
      </c>
      <c r="AS53" s="87">
        <v>4704258.5999999996</v>
      </c>
      <c r="AT53" s="80">
        <v>149341.54285714286</v>
      </c>
      <c r="AU53" s="80">
        <v>4554917.0571428565</v>
      </c>
      <c r="AV53" s="53">
        <v>818869.47215823422</v>
      </c>
      <c r="AW53" s="87">
        <v>17667244.428571429</v>
      </c>
      <c r="AX53" s="80">
        <v>543480.11428571434</v>
      </c>
      <c r="AY53" s="80">
        <v>17123764.314285714</v>
      </c>
      <c r="AZ53" s="53">
        <v>3225672.7102639014</v>
      </c>
      <c r="BA53" s="87">
        <v>50089658.079809517</v>
      </c>
      <c r="BB53" s="80">
        <v>1481495.7768571428</v>
      </c>
      <c r="BC53" s="80">
        <v>48608162.302952372</v>
      </c>
      <c r="BD53" s="53">
        <v>8626416.7151631266</v>
      </c>
      <c r="BE53" s="87">
        <v>8428916.2361904755</v>
      </c>
      <c r="BF53" s="80">
        <v>246385.85714285713</v>
      </c>
      <c r="BG53" s="80">
        <v>8182530.3790476182</v>
      </c>
      <c r="BH53" s="53">
        <v>1449137.2030836015</v>
      </c>
      <c r="BI53" s="87">
        <f>+BI52</f>
        <v>7842857.1428571427</v>
      </c>
      <c r="BJ53" s="80">
        <f t="shared" si="18"/>
        <v>257142.85714285713</v>
      </c>
      <c r="BK53" s="80">
        <f t="shared" si="13"/>
        <v>7585714.2857142854</v>
      </c>
      <c r="BL53" s="53">
        <f t="shared" si="15"/>
        <v>1088778.8549009431</v>
      </c>
      <c r="BM53" s="87">
        <f>+BM52</f>
        <v>37328571.428571425</v>
      </c>
      <c r="BN53" s="80">
        <f t="shared" si="28"/>
        <v>1114285.7142857143</v>
      </c>
      <c r="BO53" s="80">
        <f t="shared" si="23"/>
        <v>36214285.714285709</v>
      </c>
      <c r="BP53" s="53">
        <f t="shared" si="25"/>
        <v>5084525.3645997401</v>
      </c>
      <c r="BQ53" s="87">
        <f>+BQ52</f>
        <v>9068571.4285714291</v>
      </c>
      <c r="BR53" s="80">
        <f t="shared" si="35"/>
        <v>262857.14285714284</v>
      </c>
      <c r="BS53" s="80">
        <f t="shared" si="29"/>
        <v>8805714.2857142854</v>
      </c>
      <c r="BT53" s="53">
        <f t="shared" si="31"/>
        <v>1228244.0148309362</v>
      </c>
      <c r="BU53" s="81">
        <f t="shared" si="10"/>
        <v>53667637.456263445</v>
      </c>
      <c r="BV53" s="84">
        <f t="shared" ref="BV53" si="37">+BU53</f>
        <v>53667637.456263445</v>
      </c>
      <c r="BW53" s="38"/>
      <c r="BX53" s="83"/>
    </row>
    <row r="54" spans="1:78" hidden="1">
      <c r="A54">
        <v>39</v>
      </c>
      <c r="C54" s="37" t="s">
        <v>45</v>
      </c>
      <c r="D54" s="79">
        <v>2017</v>
      </c>
      <c r="E54" s="80">
        <v>26407249.023809515</v>
      </c>
      <c r="F54" s="80">
        <v>958810.85714285716</v>
      </c>
      <c r="G54" s="80">
        <v>25448438.166666657</v>
      </c>
      <c r="H54" s="43">
        <v>4705055.4246930825</v>
      </c>
      <c r="I54" s="87">
        <v>31107619.047619056</v>
      </c>
      <c r="J54" s="80">
        <v>1048571.4285714285</v>
      </c>
      <c r="K54" s="80">
        <v>30059047.619047627</v>
      </c>
      <c r="L54" s="53">
        <v>5473540.1874043271</v>
      </c>
      <c r="M54" s="87">
        <v>16952380.952380955</v>
      </c>
      <c r="N54" s="80">
        <v>571428.57142857148</v>
      </c>
      <c r="O54" s="80">
        <v>16380952.380952384</v>
      </c>
      <c r="P54" s="53">
        <v>2982855.6879587611</v>
      </c>
      <c r="Q54" s="87">
        <v>1695238.0952380958</v>
      </c>
      <c r="R54" s="80">
        <v>57142.857142857145</v>
      </c>
      <c r="S54" s="80">
        <v>1638095.2380952388</v>
      </c>
      <c r="T54" s="53">
        <v>298285.56879587617</v>
      </c>
      <c r="U54" s="87">
        <v>1695238.0952380958</v>
      </c>
      <c r="V54" s="80">
        <v>57142.857142857145</v>
      </c>
      <c r="W54" s="80">
        <v>1638095.2380952388</v>
      </c>
      <c r="X54" s="53">
        <v>298285.56879587617</v>
      </c>
      <c r="Y54" s="87">
        <v>1695238.0952380958</v>
      </c>
      <c r="Z54" s="80">
        <v>57142.857142857145</v>
      </c>
      <c r="AA54" s="80">
        <v>1638095.2380952388</v>
      </c>
      <c r="AB54" s="53">
        <v>298285.56879587617</v>
      </c>
      <c r="AC54" s="87">
        <v>1714285.7142857148</v>
      </c>
      <c r="AD54" s="80">
        <v>57142.857142857145</v>
      </c>
      <c r="AE54" s="80">
        <v>1657142.8571428577</v>
      </c>
      <c r="AF54" s="53">
        <v>301089.55381509732</v>
      </c>
      <c r="AG54" s="87">
        <v>13834261.457142858</v>
      </c>
      <c r="AH54" s="80">
        <v>453582.34285714285</v>
      </c>
      <c r="AI54" s="80">
        <v>13380679.114285715</v>
      </c>
      <c r="AJ54" s="53">
        <v>2423341.5914889229</v>
      </c>
      <c r="AK54" s="87">
        <v>25745796.81428571</v>
      </c>
      <c r="AL54" s="80">
        <v>844124.48571428575</v>
      </c>
      <c r="AM54" s="80">
        <v>24901672.328571424</v>
      </c>
      <c r="AN54" s="53">
        <v>4509880.0842648633</v>
      </c>
      <c r="AO54" s="87">
        <v>51049305.285714276</v>
      </c>
      <c r="AP54" s="80">
        <v>1673747.7142857143</v>
      </c>
      <c r="AQ54" s="80">
        <v>49375557.57142856</v>
      </c>
      <c r="AR54" s="53">
        <v>8942284.7109495141</v>
      </c>
      <c r="AS54" s="87">
        <v>4554917.0571428565</v>
      </c>
      <c r="AT54" s="80">
        <v>149341.54285714286</v>
      </c>
      <c r="AU54" s="80">
        <v>4405575.5142857134</v>
      </c>
      <c r="AV54" s="53">
        <v>797882.84937013732</v>
      </c>
      <c r="AW54" s="87">
        <v>17123764.314285714</v>
      </c>
      <c r="AX54" s="80">
        <v>543480.11428571434</v>
      </c>
      <c r="AY54" s="80">
        <v>16580284.199999999</v>
      </c>
      <c r="AZ54" s="53">
        <v>2984250.7111252439</v>
      </c>
      <c r="BA54" s="87">
        <v>48608162.302952372</v>
      </c>
      <c r="BB54" s="80">
        <v>1481495.7768571428</v>
      </c>
      <c r="BC54" s="80">
        <v>47126666.526095226</v>
      </c>
      <c r="BD54" s="53">
        <v>8418975.2914697416</v>
      </c>
      <c r="BE54" s="87">
        <v>8182530.3790476182</v>
      </c>
      <c r="BF54" s="80">
        <v>246385.85714285713</v>
      </c>
      <c r="BG54" s="80">
        <v>7936144.521904761</v>
      </c>
      <c r="BH54" s="53">
        <v>1414659.4505070918</v>
      </c>
      <c r="BI54" s="87">
        <f t="shared" si="17"/>
        <v>7585714.2857142854</v>
      </c>
      <c r="BJ54" s="80">
        <f t="shared" si="18"/>
        <v>257142.85714285713</v>
      </c>
      <c r="BK54" s="80">
        <f t="shared" si="13"/>
        <v>7328571.4285714282</v>
      </c>
      <c r="BL54" s="53">
        <f t="shared" si="15"/>
        <v>1060587.8041294825</v>
      </c>
      <c r="BM54" s="87">
        <f t="shared" ref="BM54" si="38">+BO53</f>
        <v>36214285.714285709</v>
      </c>
      <c r="BN54" s="1113">
        <f t="shared" si="28"/>
        <v>1114285.7142857143</v>
      </c>
      <c r="BO54" s="1113">
        <f t="shared" si="23"/>
        <v>35099999.999999993</v>
      </c>
      <c r="BP54" s="62">
        <f t="shared" si="25"/>
        <v>4962364.1445900779</v>
      </c>
      <c r="BQ54" s="87">
        <f t="shared" ref="BQ54" si="39">+BS53</f>
        <v>8805714.2857142854</v>
      </c>
      <c r="BR54" s="80">
        <f t="shared" si="35"/>
        <v>262857.14285714284</v>
      </c>
      <c r="BS54" s="80">
        <f t="shared" si="29"/>
        <v>8542857.1428571418</v>
      </c>
      <c r="BT54" s="53">
        <f t="shared" si="31"/>
        <v>1199426.4962645541</v>
      </c>
      <c r="BU54" s="81">
        <f t="shared" si="10"/>
        <v>51071050.694418527</v>
      </c>
      <c r="BV54" s="36"/>
      <c r="BW54" s="82">
        <f t="shared" ref="BW54" si="40">+BU54</f>
        <v>51071050.694418527</v>
      </c>
    </row>
    <row r="55" spans="1:78" hidden="1">
      <c r="A55">
        <v>40</v>
      </c>
      <c r="C55" s="37" t="s">
        <v>62</v>
      </c>
      <c r="D55" s="79">
        <v>2017</v>
      </c>
      <c r="E55" s="80">
        <v>26407249.023809515</v>
      </c>
      <c r="F55" s="80">
        <v>958810.85714285716</v>
      </c>
      <c r="G55" s="80">
        <v>25448438.166666657</v>
      </c>
      <c r="H55" s="43">
        <v>4940963.1853444688</v>
      </c>
      <c r="I55" s="87">
        <v>31107619.047619056</v>
      </c>
      <c r="J55" s="80">
        <v>1048571.4285714285</v>
      </c>
      <c r="K55" s="80">
        <v>30059047.619047627</v>
      </c>
      <c r="L55" s="53">
        <v>5752188.4315394498</v>
      </c>
      <c r="M55" s="87">
        <v>16952380.952380955</v>
      </c>
      <c r="N55" s="80">
        <v>571428.57142857148</v>
      </c>
      <c r="O55" s="80">
        <v>16380952.380952384</v>
      </c>
      <c r="P55" s="53">
        <v>3134707.5921195913</v>
      </c>
      <c r="Q55" s="87">
        <v>1695238.0952380958</v>
      </c>
      <c r="R55" s="80">
        <v>57142.857142857145</v>
      </c>
      <c r="S55" s="80">
        <v>1638095.2380952388</v>
      </c>
      <c r="T55" s="53">
        <v>298285.56879587617</v>
      </c>
      <c r="U55" s="87">
        <v>1695238.0952380958</v>
      </c>
      <c r="V55" s="80">
        <v>57142.857142857145</v>
      </c>
      <c r="W55" s="80">
        <v>1638095.2380952388</v>
      </c>
      <c r="X55" s="53">
        <v>298285.56879587617</v>
      </c>
      <c r="Y55" s="87">
        <v>1695238.0952380958</v>
      </c>
      <c r="Z55" s="80">
        <v>57142.857142857145</v>
      </c>
      <c r="AA55" s="80">
        <v>1638095.2380952388</v>
      </c>
      <c r="AB55" s="53">
        <v>298285.56879587617</v>
      </c>
      <c r="AC55" s="87">
        <v>1714285.7142857148</v>
      </c>
      <c r="AD55" s="80">
        <v>57142.857142857145</v>
      </c>
      <c r="AE55" s="80">
        <v>1657142.8571428577</v>
      </c>
      <c r="AF55" s="53">
        <v>301089.55381509732</v>
      </c>
      <c r="AG55" s="87">
        <v>13834261.457142858</v>
      </c>
      <c r="AH55" s="80">
        <v>453582.34285714285</v>
      </c>
      <c r="AI55" s="80">
        <v>13380679.114285715</v>
      </c>
      <c r="AJ55" s="53">
        <v>2547380.8753605974</v>
      </c>
      <c r="AK55" s="87">
        <v>25745796.81428571</v>
      </c>
      <c r="AL55" s="80">
        <v>844124.48571428575</v>
      </c>
      <c r="AM55" s="80">
        <v>24901672.328571424</v>
      </c>
      <c r="AN55" s="53">
        <v>4740719.3097228138</v>
      </c>
      <c r="AO55" s="87">
        <v>51049305.285714276</v>
      </c>
      <c r="AP55" s="80">
        <v>1673747.7142857143</v>
      </c>
      <c r="AQ55" s="80">
        <v>49375557.57142856</v>
      </c>
      <c r="AR55" s="53">
        <v>8942284.7109495141</v>
      </c>
      <c r="AS55" s="87">
        <v>4554917.0571428565</v>
      </c>
      <c r="AT55" s="80">
        <v>149341.54285714286</v>
      </c>
      <c r="AU55" s="80">
        <v>4405575.5142857134</v>
      </c>
      <c r="AV55" s="53">
        <v>797882.84937013732</v>
      </c>
      <c r="AW55" s="87">
        <v>17123764.314285714</v>
      </c>
      <c r="AX55" s="80">
        <v>543480.11428571434</v>
      </c>
      <c r="AY55" s="80">
        <v>16580284.199999999</v>
      </c>
      <c r="AZ55" s="53">
        <v>3137950.4270358607</v>
      </c>
      <c r="BA55" s="87">
        <v>48608162.302952372</v>
      </c>
      <c r="BB55" s="80">
        <v>1481495.7768571428</v>
      </c>
      <c r="BC55" s="80">
        <v>47126666.526095226</v>
      </c>
      <c r="BD55" s="53">
        <v>8418975.2914697416</v>
      </c>
      <c r="BE55" s="87">
        <v>8182530.3790476182</v>
      </c>
      <c r="BF55" s="80">
        <v>246385.85714285713</v>
      </c>
      <c r="BG55" s="80">
        <v>7936144.521904761</v>
      </c>
      <c r="BH55" s="53">
        <v>1414659.4505070918</v>
      </c>
      <c r="BI55" s="87">
        <f>+BI54</f>
        <v>7585714.2857142854</v>
      </c>
      <c r="BJ55" s="80">
        <f t="shared" si="18"/>
        <v>257142.85714285713</v>
      </c>
      <c r="BK55" s="80">
        <f t="shared" si="13"/>
        <v>7328571.4285714282</v>
      </c>
      <c r="BL55" s="53">
        <f t="shared" si="15"/>
        <v>1060587.8041294825</v>
      </c>
      <c r="BM55" s="87">
        <f>+BM54</f>
        <v>36214285.714285709</v>
      </c>
      <c r="BN55" s="80">
        <f t="shared" si="28"/>
        <v>1114285.7142857143</v>
      </c>
      <c r="BO55" s="80">
        <f t="shared" si="23"/>
        <v>35099999.999999993</v>
      </c>
      <c r="BP55" s="53">
        <f t="shared" si="25"/>
        <v>4962364.1445900779</v>
      </c>
      <c r="BQ55" s="87">
        <f>+BQ54</f>
        <v>8805714.2857142854</v>
      </c>
      <c r="BR55" s="80">
        <f t="shared" si="35"/>
        <v>262857.14285714284</v>
      </c>
      <c r="BS55" s="80">
        <f t="shared" si="29"/>
        <v>8542857.1428571418</v>
      </c>
      <c r="BT55" s="53">
        <f t="shared" si="31"/>
        <v>1199426.4962645541</v>
      </c>
      <c r="BU55" s="81">
        <f t="shared" si="10"/>
        <v>52246036.828606106</v>
      </c>
      <c r="BV55" s="84">
        <f t="shared" ref="BV55" si="41">+BU55</f>
        <v>52246036.828606106</v>
      </c>
      <c r="BW55" s="38"/>
    </row>
    <row r="56" spans="1:78" hidden="1">
      <c r="A56">
        <v>41</v>
      </c>
      <c r="C56" s="37" t="str">
        <f t="shared" si="11"/>
        <v>Base FCR</v>
      </c>
      <c r="D56" s="79">
        <f t="shared" si="12"/>
        <v>2018</v>
      </c>
      <c r="E56" s="80">
        <v>25448438.166666657</v>
      </c>
      <c r="F56" s="80">
        <v>958810.85714285716</v>
      </c>
      <c r="G56" s="80">
        <v>24489627.309523799</v>
      </c>
      <c r="H56" s="43">
        <v>4044506.3895536489</v>
      </c>
      <c r="I56" s="87">
        <v>30059047.619047627</v>
      </c>
      <c r="J56" s="80">
        <v>1048571.4285714285</v>
      </c>
      <c r="K56" s="80">
        <v>29010476.190476198</v>
      </c>
      <c r="L56" s="53">
        <v>4703894.379903133</v>
      </c>
      <c r="M56" s="87">
        <v>16380952.380952384</v>
      </c>
      <c r="N56" s="80">
        <v>571428.57142857148</v>
      </c>
      <c r="O56" s="80">
        <v>15809523.809523813</v>
      </c>
      <c r="P56" s="53">
        <v>2563430.1797837238</v>
      </c>
      <c r="Q56" s="87">
        <v>1638095.2380952388</v>
      </c>
      <c r="R56" s="80">
        <v>57142.857142857145</v>
      </c>
      <c r="S56" s="80">
        <v>1580952.3809523818</v>
      </c>
      <c r="T56" s="53">
        <v>256343.01797837246</v>
      </c>
      <c r="U56" s="87">
        <v>1638095.2380952388</v>
      </c>
      <c r="V56" s="80">
        <v>57142.857142857145</v>
      </c>
      <c r="W56" s="80">
        <v>1580952.3809523818</v>
      </c>
      <c r="X56" s="53">
        <v>256343.01797837246</v>
      </c>
      <c r="Y56" s="87">
        <v>1638095.2380952388</v>
      </c>
      <c r="Z56" s="80">
        <v>57142.857142857145</v>
      </c>
      <c r="AA56" s="80">
        <v>1580952.3809523818</v>
      </c>
      <c r="AB56" s="53">
        <v>256343.01797837246</v>
      </c>
      <c r="AC56" s="87">
        <v>1657142.8571428577</v>
      </c>
      <c r="AD56" s="80">
        <v>57142.857142857145</v>
      </c>
      <c r="AE56" s="80">
        <v>1600000.0000000007</v>
      </c>
      <c r="AF56" s="53">
        <v>258743.01991614973</v>
      </c>
      <c r="AG56" s="87">
        <v>13380679.114285715</v>
      </c>
      <c r="AH56" s="80">
        <v>453582.34285714285</v>
      </c>
      <c r="AI56" s="80">
        <v>12927096.771428572</v>
      </c>
      <c r="AJ56" s="53">
        <v>2082397.8511734579</v>
      </c>
      <c r="AK56" s="87">
        <v>24901672.328571424</v>
      </c>
      <c r="AL56" s="80">
        <v>844124.48571428575</v>
      </c>
      <c r="AM56" s="80">
        <v>24057547.842857137</v>
      </c>
      <c r="AN56" s="53">
        <v>3875377.9613682046</v>
      </c>
      <c r="AO56" s="87">
        <v>49375557.57142856</v>
      </c>
      <c r="AP56" s="80">
        <v>1673747.7142857143</v>
      </c>
      <c r="AQ56" s="80">
        <v>47701809.857142843</v>
      </c>
      <c r="AR56" s="53">
        <v>7684180.6091486178</v>
      </c>
      <c r="AS56" s="87">
        <v>4405575.5142857134</v>
      </c>
      <c r="AT56" s="80">
        <v>149341.54285714286</v>
      </c>
      <c r="AU56" s="80">
        <v>4256233.9714285703</v>
      </c>
      <c r="AV56" s="53">
        <v>685627.45625790348</v>
      </c>
      <c r="AW56" s="87">
        <v>16580284.199999999</v>
      </c>
      <c r="AX56" s="80">
        <v>543480.11428571434</v>
      </c>
      <c r="AY56" s="80">
        <v>16036804.085714284</v>
      </c>
      <c r="AZ56" s="53">
        <v>2564119.0605628407</v>
      </c>
      <c r="BA56" s="87">
        <v>47126666.526095226</v>
      </c>
      <c r="BB56" s="80">
        <v>1481495.7768571428</v>
      </c>
      <c r="BC56" s="80">
        <v>45645170.749238081</v>
      </c>
      <c r="BD56" s="53">
        <v>7232791.9348953459</v>
      </c>
      <c r="BE56" s="87">
        <v>7936144.521904761</v>
      </c>
      <c r="BF56" s="80">
        <v>246385.85714285713</v>
      </c>
      <c r="BG56" s="80">
        <v>7689758.6647619037</v>
      </c>
      <c r="BH56" s="53">
        <v>1215296.2312074422</v>
      </c>
      <c r="BI56" s="87">
        <f t="shared" si="17"/>
        <v>7328571.4285714282</v>
      </c>
      <c r="BJ56" s="80">
        <f t="shared" si="18"/>
        <v>257142.85714285713</v>
      </c>
      <c r="BK56" s="80">
        <f t="shared" si="13"/>
        <v>7071428.5714285709</v>
      </c>
      <c r="BL56" s="53">
        <f t="shared" si="15"/>
        <v>1032396.7533580221</v>
      </c>
      <c r="BM56" s="87">
        <f t="shared" ref="BM56" si="42">+BO55</f>
        <v>35099999.999999993</v>
      </c>
      <c r="BN56" s="80">
        <f t="shared" si="28"/>
        <v>1114285.7142857143</v>
      </c>
      <c r="BO56" s="80">
        <f t="shared" si="23"/>
        <v>33985714.285714276</v>
      </c>
      <c r="BP56" s="53">
        <f t="shared" si="25"/>
        <v>4840202.9245804148</v>
      </c>
      <c r="BQ56" s="87">
        <f t="shared" ref="BQ56" si="43">+BS55</f>
        <v>8542857.1428571418</v>
      </c>
      <c r="BR56" s="1113">
        <f t="shared" si="35"/>
        <v>262857.14285714284</v>
      </c>
      <c r="BS56" s="1113">
        <f t="shared" si="29"/>
        <v>8279999.9999999991</v>
      </c>
      <c r="BT56" s="62">
        <f t="shared" si="31"/>
        <v>1170608.9776981722</v>
      </c>
      <c r="BU56" s="81">
        <f t="shared" si="10"/>
        <v>44722602.783342198</v>
      </c>
      <c r="BV56" s="36"/>
      <c r="BW56" s="82">
        <f t="shared" ref="BW56" si="44">+BU56</f>
        <v>44722602.783342198</v>
      </c>
    </row>
    <row r="57" spans="1:78" hidden="1">
      <c r="A57">
        <v>42</v>
      </c>
      <c r="C57" s="37" t="str">
        <f t="shared" si="11"/>
        <v>W Increased ROE</v>
      </c>
      <c r="D57" s="79">
        <f t="shared" si="12"/>
        <v>2018</v>
      </c>
      <c r="E57" s="80">
        <v>25448438.166666657</v>
      </c>
      <c r="F57" s="80">
        <v>958810.85714285716</v>
      </c>
      <c r="G57" s="80">
        <v>24489627.309523799</v>
      </c>
      <c r="H57" s="43">
        <v>4235158.9367110161</v>
      </c>
      <c r="I57" s="87">
        <v>30059047.619047627</v>
      </c>
      <c r="J57" s="80">
        <v>1048571.4285714285</v>
      </c>
      <c r="K57" s="80">
        <v>29010476.190476198</v>
      </c>
      <c r="L57" s="53">
        <v>4929741.8830136247</v>
      </c>
      <c r="M57" s="87">
        <v>16380952.380952384</v>
      </c>
      <c r="N57" s="80">
        <v>571428.57142857148</v>
      </c>
      <c r="O57" s="80">
        <v>15809523.809523813</v>
      </c>
      <c r="P57" s="53">
        <v>2686507.8381545637</v>
      </c>
      <c r="Q57" s="87">
        <v>1638095.2380952388</v>
      </c>
      <c r="R57" s="80">
        <v>57142.857142857145</v>
      </c>
      <c r="S57" s="80">
        <v>1580952.3809523818</v>
      </c>
      <c r="T57" s="53">
        <v>256343.01797837246</v>
      </c>
      <c r="U57" s="87">
        <v>1638095.2380952388</v>
      </c>
      <c r="V57" s="80">
        <v>57142.857142857145</v>
      </c>
      <c r="W57" s="80">
        <v>1580952.3809523818</v>
      </c>
      <c r="X57" s="53">
        <v>256343.01797837246</v>
      </c>
      <c r="Y57" s="87">
        <v>1638095.2380952388</v>
      </c>
      <c r="Z57" s="80">
        <v>57142.857142857145</v>
      </c>
      <c r="AA57" s="80">
        <v>1580952.3809523818</v>
      </c>
      <c r="AB57" s="53">
        <v>256343.01797837246</v>
      </c>
      <c r="AC57" s="87">
        <v>1657142.8571428577</v>
      </c>
      <c r="AD57" s="80">
        <v>57142.857142857145</v>
      </c>
      <c r="AE57" s="80">
        <v>1600000.0000000007</v>
      </c>
      <c r="AF57" s="53">
        <v>258743.01991614973</v>
      </c>
      <c r="AG57" s="87">
        <v>13380679.114285715</v>
      </c>
      <c r="AH57" s="80">
        <v>453582.34285714285</v>
      </c>
      <c r="AI57" s="80">
        <v>12927096.771428572</v>
      </c>
      <c r="AJ57" s="53">
        <v>2183035.7210631389</v>
      </c>
      <c r="AK57" s="87">
        <v>24901672.328571424</v>
      </c>
      <c r="AL57" s="80">
        <v>844124.48571428575</v>
      </c>
      <c r="AM57" s="80">
        <v>24057547.842857137</v>
      </c>
      <c r="AN57" s="53">
        <v>4062666.7557884138</v>
      </c>
      <c r="AO57" s="87">
        <v>49375557.57142856</v>
      </c>
      <c r="AP57" s="80">
        <v>1673747.7142857143</v>
      </c>
      <c r="AQ57" s="80">
        <v>47701809.857142843</v>
      </c>
      <c r="AR57" s="53">
        <v>7684180.6091486178</v>
      </c>
      <c r="AS57" s="87">
        <v>4405575.5142857134</v>
      </c>
      <c r="AT57" s="80">
        <v>149341.54285714286</v>
      </c>
      <c r="AU57" s="80">
        <v>4256233.9714285703</v>
      </c>
      <c r="AV57" s="53">
        <v>685627.45625790348</v>
      </c>
      <c r="AW57" s="87">
        <v>16580284.199999999</v>
      </c>
      <c r="AX57" s="80">
        <v>543480.11428571434</v>
      </c>
      <c r="AY57" s="80">
        <v>16036804.085714284</v>
      </c>
      <c r="AZ57" s="53">
        <v>2688966.1032949318</v>
      </c>
      <c r="BA57" s="87">
        <v>47126666.526095226</v>
      </c>
      <c r="BB57" s="80">
        <v>1481495.7768571428</v>
      </c>
      <c r="BC57" s="80">
        <v>45645170.749238081</v>
      </c>
      <c r="BD57" s="53">
        <v>7232791.9348953459</v>
      </c>
      <c r="BE57" s="87">
        <v>7936144.521904761</v>
      </c>
      <c r="BF57" s="80">
        <v>246385.85714285713</v>
      </c>
      <c r="BG57" s="80">
        <v>7689758.6647619037</v>
      </c>
      <c r="BH57" s="53">
        <v>1215296.2312074422</v>
      </c>
      <c r="BI57" s="87">
        <f>+BI56</f>
        <v>7328571.4285714282</v>
      </c>
      <c r="BJ57" s="80">
        <f t="shared" si="18"/>
        <v>257142.85714285713</v>
      </c>
      <c r="BK57" s="80">
        <f t="shared" si="13"/>
        <v>7071428.5714285709</v>
      </c>
      <c r="BL57" s="53">
        <f t="shared" si="15"/>
        <v>1032396.7533580221</v>
      </c>
      <c r="BM57" s="87">
        <f>+BM56</f>
        <v>35099999.999999993</v>
      </c>
      <c r="BN57" s="80">
        <f t="shared" si="28"/>
        <v>1114285.7142857143</v>
      </c>
      <c r="BO57" s="80">
        <f t="shared" si="23"/>
        <v>33985714.285714276</v>
      </c>
      <c r="BP57" s="53">
        <f t="shared" si="25"/>
        <v>4840202.9245804148</v>
      </c>
      <c r="BQ57" s="87">
        <f>+BQ56</f>
        <v>8542857.1428571418</v>
      </c>
      <c r="BR57" s="80">
        <f t="shared" si="35"/>
        <v>262857.14285714284</v>
      </c>
      <c r="BS57" s="80">
        <f t="shared" si="29"/>
        <v>8279999.9999999991</v>
      </c>
      <c r="BT57" s="53">
        <f t="shared" si="31"/>
        <v>1170608.9776981722</v>
      </c>
      <c r="BU57" s="81">
        <f t="shared" si="10"/>
        <v>45674954.199022874</v>
      </c>
      <c r="BV57" s="84">
        <f t="shared" ref="BV57:BV67" si="45">+BU57</f>
        <v>45674954.199022874</v>
      </c>
      <c r="BW57" s="38"/>
      <c r="BY57" s="83"/>
    </row>
    <row r="58" spans="1:78" hidden="1">
      <c r="A58">
        <v>43</v>
      </c>
      <c r="C58" s="37" t="str">
        <f t="shared" si="11"/>
        <v>Base FCR</v>
      </c>
      <c r="D58" s="79">
        <f t="shared" si="12"/>
        <v>2019</v>
      </c>
      <c r="E58" s="80">
        <v>24489627.309523799</v>
      </c>
      <c r="F58" s="80">
        <v>958810.85714285716</v>
      </c>
      <c r="G58" s="80">
        <v>23530816.45238094</v>
      </c>
      <c r="H58" s="43">
        <v>3755648.8899557288</v>
      </c>
      <c r="I58" s="87">
        <v>29010476.190476198</v>
      </c>
      <c r="J58" s="80">
        <v>1048571.4285714285</v>
      </c>
      <c r="K58" s="80">
        <v>27961904.761904769</v>
      </c>
      <c r="L58" s="53">
        <v>4372082.0626477702</v>
      </c>
      <c r="M58" s="87">
        <v>15809523.809523813</v>
      </c>
      <c r="N58" s="80">
        <v>571428.57142857148</v>
      </c>
      <c r="O58" s="80">
        <v>15238095.238095243</v>
      </c>
      <c r="P58" s="53">
        <v>2382606.028690883</v>
      </c>
      <c r="Q58" s="87">
        <v>1580952.3809523818</v>
      </c>
      <c r="R58" s="80">
        <v>57142.857142857145</v>
      </c>
      <c r="S58" s="80">
        <v>1523809.5238095247</v>
      </c>
      <c r="T58" s="53">
        <v>238260.60286908835</v>
      </c>
      <c r="U58" s="87">
        <v>1580952.3809523818</v>
      </c>
      <c r="V58" s="80">
        <v>57142.857142857145</v>
      </c>
      <c r="W58" s="80">
        <v>1523809.5238095247</v>
      </c>
      <c r="X58" s="53">
        <v>238260.60286908835</v>
      </c>
      <c r="Y58" s="87">
        <v>1580952.3809523818</v>
      </c>
      <c r="Z58" s="80">
        <v>57142.857142857145</v>
      </c>
      <c r="AA58" s="80">
        <v>1523809.5238095247</v>
      </c>
      <c r="AB58" s="53">
        <v>238260.60286908835</v>
      </c>
      <c r="AC58" s="87">
        <v>1600000.0000000007</v>
      </c>
      <c r="AD58" s="80">
        <v>57142.857142857145</v>
      </c>
      <c r="AE58" s="80">
        <v>1542857.1428571437</v>
      </c>
      <c r="AF58" s="53">
        <v>240524.57469066622</v>
      </c>
      <c r="AG58" s="87">
        <v>12927096.771428572</v>
      </c>
      <c r="AH58" s="80">
        <v>453582.34285714285</v>
      </c>
      <c r="AI58" s="80">
        <v>12473514.428571429</v>
      </c>
      <c r="AJ58" s="53">
        <v>1936165.8149295172</v>
      </c>
      <c r="AK58" s="87">
        <v>24057547.842857137</v>
      </c>
      <c r="AL58" s="80">
        <v>844124.48571428575</v>
      </c>
      <c r="AM58" s="80">
        <v>23213423.357142851</v>
      </c>
      <c r="AN58" s="53">
        <v>3603237.6447680797</v>
      </c>
      <c r="AO58" s="87">
        <v>47701809.857142843</v>
      </c>
      <c r="AP58" s="80">
        <v>1673747.7142857143</v>
      </c>
      <c r="AQ58" s="80">
        <v>46028062.142857127</v>
      </c>
      <c r="AR58" s="53">
        <v>7144575.088182102</v>
      </c>
      <c r="AS58" s="87">
        <v>4256233.9714285703</v>
      </c>
      <c r="AT58" s="80">
        <v>149341.54285714286</v>
      </c>
      <c r="AU58" s="80">
        <v>4106892.4285714272</v>
      </c>
      <c r="AV58" s="53">
        <v>637480.70131535083</v>
      </c>
      <c r="AW58" s="87">
        <v>16036804.085714284</v>
      </c>
      <c r="AX58" s="80">
        <v>543480.11428571434</v>
      </c>
      <c r="AY58" s="80">
        <v>15493323.971428569</v>
      </c>
      <c r="AZ58" s="53">
        <v>2384993.6812150185</v>
      </c>
      <c r="BA58" s="87">
        <v>45645170.749238081</v>
      </c>
      <c r="BB58" s="80">
        <v>1481495.7768571428</v>
      </c>
      <c r="BC58" s="80">
        <v>44163674.972380936</v>
      </c>
      <c r="BD58" s="53">
        <v>6730724.8497838844</v>
      </c>
      <c r="BE58" s="87">
        <v>7689758.6647619037</v>
      </c>
      <c r="BF58" s="80">
        <v>246385.85714285713</v>
      </c>
      <c r="BG58" s="80">
        <v>7443372.8076190464</v>
      </c>
      <c r="BH58" s="53">
        <v>1131094.1375751595</v>
      </c>
      <c r="BI58" s="87">
        <v>7071428.5714285709</v>
      </c>
      <c r="BJ58" s="80">
        <v>257142.85714285713</v>
      </c>
      <c r="BK58" s="80">
        <v>6814285.7142857136</v>
      </c>
      <c r="BL58" s="53">
        <v>1067078.7763123468</v>
      </c>
      <c r="BM58" s="87">
        <v>33985714.285714276</v>
      </c>
      <c r="BN58" s="80">
        <v>1114285.7142857143</v>
      </c>
      <c r="BO58" s="80">
        <v>32871428.571428563</v>
      </c>
      <c r="BP58" s="53">
        <v>5021335.0853737546</v>
      </c>
      <c r="BQ58" s="87">
        <v>8279999.9999999991</v>
      </c>
      <c r="BR58" s="80">
        <v>262857.14285714284</v>
      </c>
      <c r="BS58" s="80">
        <v>8017142.8571428563</v>
      </c>
      <c r="BT58" s="53">
        <v>1215762.8825592762</v>
      </c>
      <c r="BU58" s="81">
        <v>42338092.026606798</v>
      </c>
      <c r="BV58" s="36"/>
      <c r="BW58" s="82">
        <v>42338092.026606798</v>
      </c>
      <c r="BY58" s="83"/>
    </row>
    <row r="59" spans="1:78" hidden="1">
      <c r="A59">
        <v>44</v>
      </c>
      <c r="C59" s="37" t="str">
        <f t="shared" si="11"/>
        <v>W Increased ROE</v>
      </c>
      <c r="D59" s="79">
        <f t="shared" si="12"/>
        <v>2019</v>
      </c>
      <c r="E59" s="80">
        <v>24489627.309523799</v>
      </c>
      <c r="F59" s="80">
        <v>958810.85714285716</v>
      </c>
      <c r="G59" s="80">
        <v>23530816.45238094</v>
      </c>
      <c r="H59" s="43">
        <v>3947458.2263656985</v>
      </c>
      <c r="I59" s="87">
        <v>29010476.190476198</v>
      </c>
      <c r="J59" s="80">
        <v>1048571.4285714285</v>
      </c>
      <c r="K59" s="80">
        <v>27961904.761904769</v>
      </c>
      <c r="L59" s="53">
        <v>4600011.0173439868</v>
      </c>
      <c r="M59" s="87">
        <v>15809523.809523813</v>
      </c>
      <c r="N59" s="80">
        <v>571428.57142857148</v>
      </c>
      <c r="O59" s="80">
        <v>15238095.238095243</v>
      </c>
      <c r="P59" s="53">
        <v>2506817.9931029906</v>
      </c>
      <c r="Q59" s="87">
        <v>1580952.3809523818</v>
      </c>
      <c r="R59" s="80">
        <v>57142.857142857145</v>
      </c>
      <c r="S59" s="80">
        <v>1523809.5238095247</v>
      </c>
      <c r="T59" s="53">
        <v>238260.60286908835</v>
      </c>
      <c r="U59" s="87">
        <v>1580952.3809523818</v>
      </c>
      <c r="V59" s="80">
        <v>57142.857142857145</v>
      </c>
      <c r="W59" s="80">
        <v>1523809.5238095247</v>
      </c>
      <c r="X59" s="53">
        <v>238260.60286908835</v>
      </c>
      <c r="Y59" s="87">
        <v>1580952.3809523818</v>
      </c>
      <c r="Z59" s="80">
        <v>57142.857142857145</v>
      </c>
      <c r="AA59" s="80">
        <v>1523809.5238095247</v>
      </c>
      <c r="AB59" s="53">
        <v>238260.60286908835</v>
      </c>
      <c r="AC59" s="87">
        <v>1600000.0000000007</v>
      </c>
      <c r="AD59" s="80">
        <v>57142.857142857145</v>
      </c>
      <c r="AE59" s="80">
        <v>1542857.1428571437</v>
      </c>
      <c r="AF59" s="53">
        <v>240524.57469066622</v>
      </c>
      <c r="AG59" s="87">
        <v>12927096.771428572</v>
      </c>
      <c r="AH59" s="80">
        <v>453582.34285714285</v>
      </c>
      <c r="AI59" s="80">
        <v>12473514.428571429</v>
      </c>
      <c r="AJ59" s="53">
        <v>2037842.5472301673</v>
      </c>
      <c r="AK59" s="87">
        <v>24057547.842857137</v>
      </c>
      <c r="AL59" s="80">
        <v>844124.48571428575</v>
      </c>
      <c r="AM59" s="80">
        <v>23213423.357142851</v>
      </c>
      <c r="AN59" s="53">
        <v>3792459.7798753697</v>
      </c>
      <c r="AO59" s="87">
        <v>47701809.857142843</v>
      </c>
      <c r="AP59" s="80">
        <v>1673747.7142857143</v>
      </c>
      <c r="AQ59" s="80">
        <v>46028062.142857127</v>
      </c>
      <c r="AR59" s="53">
        <v>7144575.088182102</v>
      </c>
      <c r="AS59" s="87">
        <v>4256233.9714285703</v>
      </c>
      <c r="AT59" s="80">
        <v>149341.54285714286</v>
      </c>
      <c r="AU59" s="80">
        <v>4106892.4285714272</v>
      </c>
      <c r="AV59" s="53">
        <v>637480.70131535083</v>
      </c>
      <c r="AW59" s="87">
        <v>16036804.085714284</v>
      </c>
      <c r="AX59" s="80">
        <v>543480.11428571434</v>
      </c>
      <c r="AY59" s="80">
        <v>15493323.971428569</v>
      </c>
      <c r="AZ59" s="53">
        <v>2511286.119718303</v>
      </c>
      <c r="BA59" s="87">
        <v>45645170.749238081</v>
      </c>
      <c r="BB59" s="80">
        <v>1481495.7768571428</v>
      </c>
      <c r="BC59" s="80">
        <v>44163674.972380936</v>
      </c>
      <c r="BD59" s="53">
        <v>6730724.8497838844</v>
      </c>
      <c r="BE59" s="87">
        <v>7689758.6647619037</v>
      </c>
      <c r="BF59" s="80">
        <v>246385.85714285713</v>
      </c>
      <c r="BG59" s="80">
        <v>7443372.8076190464</v>
      </c>
      <c r="BH59" s="53">
        <v>1131094.1375751595</v>
      </c>
      <c r="BI59" s="87">
        <v>7071428.5714285709</v>
      </c>
      <c r="BJ59" s="80">
        <v>257142.85714285713</v>
      </c>
      <c r="BK59" s="80">
        <v>6814285.7142857136</v>
      </c>
      <c r="BL59" s="53">
        <v>1067078.7763123468</v>
      </c>
      <c r="BM59" s="87">
        <v>33985714.285714276</v>
      </c>
      <c r="BN59" s="80">
        <v>1114285.7142857143</v>
      </c>
      <c r="BO59" s="80">
        <v>32871428.571428563</v>
      </c>
      <c r="BP59" s="53">
        <v>5021335.0853737546</v>
      </c>
      <c r="BQ59" s="87">
        <v>8279999.9999999991</v>
      </c>
      <c r="BR59" s="80">
        <v>262857.14285714284</v>
      </c>
      <c r="BS59" s="80">
        <v>8017142.8571428563</v>
      </c>
      <c r="BT59" s="53">
        <v>1215762.8825592762</v>
      </c>
      <c r="BU59" s="81">
        <v>43299233.588036314</v>
      </c>
      <c r="BV59" s="84">
        <v>43299233.588036314</v>
      </c>
      <c r="BW59" s="38"/>
      <c r="BY59" s="83"/>
    </row>
    <row r="60" spans="1:78">
      <c r="A60">
        <v>45</v>
      </c>
      <c r="C60" s="37" t="str">
        <f t="shared" si="11"/>
        <v>Base FCR</v>
      </c>
      <c r="D60" s="79">
        <f t="shared" si="12"/>
        <v>2020</v>
      </c>
      <c r="E60" s="80">
        <f>+G59</f>
        <v>23530816.45238094</v>
      </c>
      <c r="F60" s="80">
        <f>+E$32</f>
        <v>958810.85714285716</v>
      </c>
      <c r="G60" s="80">
        <f t="shared" ref="G60:G75" si="46">+E60-F60</f>
        <v>22572005.595238082</v>
      </c>
      <c r="H60" s="43">
        <f>+E$29*G60+F60</f>
        <v>3433421.9072780451</v>
      </c>
      <c r="I60" s="87">
        <f>+K59</f>
        <v>27961904.761904769</v>
      </c>
      <c r="J60" s="80">
        <f>+I$32</f>
        <v>1048571.4285714285</v>
      </c>
      <c r="K60" s="80">
        <f t="shared" si="0"/>
        <v>26913333.33333334</v>
      </c>
      <c r="L60" s="53">
        <f>+I$29*K60+J60</f>
        <v>3999130.3313518125</v>
      </c>
      <c r="M60" s="87">
        <f>+O59</f>
        <v>15238095.238095243</v>
      </c>
      <c r="N60" s="80">
        <f>+M$32</f>
        <v>571428.57142857148</v>
      </c>
      <c r="O60" s="80">
        <f t="shared" si="1"/>
        <v>14666666.666666672</v>
      </c>
      <c r="P60" s="53">
        <f>+M$29*O60+N60</f>
        <v>2179362.5783933587</v>
      </c>
      <c r="Q60" s="87">
        <f>+S59</f>
        <v>1523809.5238095247</v>
      </c>
      <c r="R60" s="80">
        <f>+Q$32</f>
        <v>57142.857142857145</v>
      </c>
      <c r="S60" s="80">
        <f t="shared" ref="S60:S75" si="47">+Q60-R60</f>
        <v>1466666.6666666677</v>
      </c>
      <c r="T60" s="53">
        <f>+Q$29*S60+R60</f>
        <v>217936.25783933589</v>
      </c>
      <c r="U60" s="87">
        <f>+W59</f>
        <v>1523809.5238095247</v>
      </c>
      <c r="V60" s="80">
        <f>+U$32</f>
        <v>57142.857142857145</v>
      </c>
      <c r="W60" s="80">
        <f t="shared" ref="W60:W75" si="48">+U60-V60</f>
        <v>1466666.6666666677</v>
      </c>
      <c r="X60" s="53">
        <f>+U$29*W60+V60</f>
        <v>217936.25783933589</v>
      </c>
      <c r="Y60" s="87">
        <f>+AA59</f>
        <v>1523809.5238095247</v>
      </c>
      <c r="Z60" s="80">
        <f>+Y$32</f>
        <v>57142.857142857145</v>
      </c>
      <c r="AA60" s="80">
        <f t="shared" ref="AA60:AA75" si="49">+Y60-Z60</f>
        <v>1466666.6666666677</v>
      </c>
      <c r="AB60" s="53">
        <f>+Y$29*AA60+Z60</f>
        <v>217936.25783933589</v>
      </c>
      <c r="AC60" s="87">
        <f>+AE59</f>
        <v>1542857.1428571437</v>
      </c>
      <c r="AD60" s="80">
        <f>+AC$32</f>
        <v>57142.857142857145</v>
      </c>
      <c r="AE60" s="80">
        <f t="shared" ref="AE60:AE75" si="50">+AC60-AD60</f>
        <v>1485714.2857142866</v>
      </c>
      <c r="AF60" s="53">
        <f>+AC$29*AE60+AD60</f>
        <v>220024.48382240703</v>
      </c>
      <c r="AG60" s="87">
        <f t="shared" ref="AG60:AG74" si="51">+AI59</f>
        <v>12473514.428571429</v>
      </c>
      <c r="AH60" s="80">
        <f>+AG$32</f>
        <v>453582.34285714285</v>
      </c>
      <c r="AI60" s="80">
        <f t="shared" ref="AI60:AI75" si="52">+AG60-AH60</f>
        <v>12019932.085714286</v>
      </c>
      <c r="AJ60" s="53">
        <f>+AG$29*AI60+AH60</f>
        <v>1771349.9039044504</v>
      </c>
      <c r="AK60" s="87">
        <f t="shared" ref="AK60:AK74" si="53">+AM59</f>
        <v>23213423.357142851</v>
      </c>
      <c r="AL60" s="80">
        <f>+AK$32</f>
        <v>844124.48571428575</v>
      </c>
      <c r="AM60" s="80">
        <f t="shared" ref="AM60:AM75" si="54">+AK60-AL60</f>
        <v>22369298.871428564</v>
      </c>
      <c r="AN60" s="53">
        <f>+AK$29*AM60+AL60</f>
        <v>3296512.4198503545</v>
      </c>
      <c r="AO60" s="87">
        <f t="shared" ref="AO60:AO74" si="55">+AQ59</f>
        <v>46028062.142857127</v>
      </c>
      <c r="AP60" s="80">
        <f>+AO$32</f>
        <v>1673747.7142857143</v>
      </c>
      <c r="AQ60" s="80">
        <f t="shared" ref="AQ60:AQ75" si="56">+AO60-AP60</f>
        <v>44354314.42857141</v>
      </c>
      <c r="AR60" s="53">
        <f>+AO$29*AQ60+AP60</f>
        <v>6536393.8864658652</v>
      </c>
      <c r="AS60" s="87">
        <f t="shared" ref="AS60:AS74" si="57">+AU59</f>
        <v>4106892.4285714272</v>
      </c>
      <c r="AT60" s="80">
        <f>+AS$32</f>
        <v>149341.54285714286</v>
      </c>
      <c r="AU60" s="80">
        <f t="shared" ref="AU60:AU75" si="58">+AS60-AT60</f>
        <v>3957550.8857142841</v>
      </c>
      <c r="AV60" s="53">
        <f>+AS$29*AU60+AT60</f>
        <v>583215.22377307073</v>
      </c>
      <c r="AW60" s="87">
        <f t="shared" ref="AW60" si="59">+AY59</f>
        <v>15493323.971428569</v>
      </c>
      <c r="AX60" s="80">
        <f>+AW$32</f>
        <v>543480.11428571434</v>
      </c>
      <c r="AY60" s="80">
        <f t="shared" ref="AY60:AY75" si="60">+AW60-AX60</f>
        <v>14949843.857142854</v>
      </c>
      <c r="AZ60" s="53">
        <f>+AW$29*AY60+AX60</f>
        <v>2182459.3645161879</v>
      </c>
      <c r="BA60" s="87">
        <f t="shared" ref="BA60" si="61">+BC59</f>
        <v>44163674.972380936</v>
      </c>
      <c r="BB60" s="80">
        <f>+BA$32</f>
        <v>1481495.7768571428</v>
      </c>
      <c r="BC60" s="80">
        <f t="shared" ref="BC60:BC75" si="62">+BA60-BB60</f>
        <v>42682179.195523791</v>
      </c>
      <c r="BD60" s="53">
        <f>+BA$29*BC60+BB60</f>
        <v>6160822.6463922076</v>
      </c>
      <c r="BE60" s="87">
        <f t="shared" ref="BE60" si="63">+BG59</f>
        <v>7443372.8076190464</v>
      </c>
      <c r="BF60" s="80">
        <f>+BE$32</f>
        <v>246385.85714285713</v>
      </c>
      <c r="BG60" s="80">
        <f t="shared" ref="BG60:BG75" si="64">+BE60-BF60</f>
        <v>7196986.9504761891</v>
      </c>
      <c r="BH60" s="53">
        <f>+BE$29*BG60+BF60</f>
        <v>1035404.9525077975</v>
      </c>
      <c r="BI60" s="87">
        <f t="shared" si="17"/>
        <v>6814285.7142857136</v>
      </c>
      <c r="BJ60" s="80">
        <f t="shared" si="18"/>
        <v>257142.85714285713</v>
      </c>
      <c r="BK60" s="80">
        <f t="shared" si="13"/>
        <v>6557142.8571428563</v>
      </c>
      <c r="BL60" s="53">
        <f t="shared" si="15"/>
        <v>976014.65181510092</v>
      </c>
      <c r="BM60" s="87">
        <f t="shared" ref="BM60" si="65">+BO59</f>
        <v>32871428.571428563</v>
      </c>
      <c r="BN60" s="80">
        <f t="shared" si="28"/>
        <v>1114285.7142857143</v>
      </c>
      <c r="BO60" s="80">
        <f t="shared" si="23"/>
        <v>31757142.857142851</v>
      </c>
      <c r="BP60" s="53">
        <f t="shared" si="25"/>
        <v>4595880.4845610904</v>
      </c>
      <c r="BQ60" s="87">
        <f t="shared" ref="BQ60" si="66">+BS59</f>
        <v>8017142.8571428563</v>
      </c>
      <c r="BR60" s="80">
        <f t="shared" si="35"/>
        <v>262857.14285714284</v>
      </c>
      <c r="BS60" s="80">
        <f t="shared" si="29"/>
        <v>7754285.7142857136</v>
      </c>
      <c r="BT60" s="53">
        <f t="shared" si="31"/>
        <v>1112973.9405654084</v>
      </c>
      <c r="BU60" s="81">
        <f t="shared" si="10"/>
        <v>38736775.548715159</v>
      </c>
      <c r="BV60" s="36"/>
      <c r="BW60" s="82">
        <f t="shared" ref="BW60" si="67">+BU60</f>
        <v>38736775.548715159</v>
      </c>
    </row>
    <row r="61" spans="1:78">
      <c r="A61">
        <v>46</v>
      </c>
      <c r="C61" s="37" t="str">
        <f t="shared" si="11"/>
        <v>W Increased ROE</v>
      </c>
      <c r="D61" s="79">
        <f t="shared" si="12"/>
        <v>2020</v>
      </c>
      <c r="E61" s="80">
        <f>+E60</f>
        <v>23530816.45238094</v>
      </c>
      <c r="F61" s="80">
        <f>+F60</f>
        <v>958810.85714285716</v>
      </c>
      <c r="G61" s="80">
        <f t="shared" si="46"/>
        <v>22572005.595238082</v>
      </c>
      <c r="H61" s="43">
        <f>+E$30*G61+F61</f>
        <v>3622388.9339732095</v>
      </c>
      <c r="I61" s="87">
        <f>+I60</f>
        <v>27961904.761904769</v>
      </c>
      <c r="J61" s="80">
        <f>+J60</f>
        <v>1048571.4285714285</v>
      </c>
      <c r="K61" s="80">
        <f t="shared" si="0"/>
        <v>26913333.33333334</v>
      </c>
      <c r="L61" s="53">
        <f>+I$30*K61+J61</f>
        <v>4224441.8375446331</v>
      </c>
      <c r="M61" s="87">
        <f>+M60</f>
        <v>15238095.238095243</v>
      </c>
      <c r="N61" s="80">
        <f>+N60</f>
        <v>571428.57142857148</v>
      </c>
      <c r="O61" s="80">
        <f t="shared" si="1"/>
        <v>14666666.666666672</v>
      </c>
      <c r="P61" s="53">
        <f>+M$30*O61+N61</f>
        <v>2302148.1403512992</v>
      </c>
      <c r="Q61" s="87">
        <f>+Q60</f>
        <v>1523809.5238095247</v>
      </c>
      <c r="R61" s="80">
        <f>+R60</f>
        <v>57142.857142857145</v>
      </c>
      <c r="S61" s="80">
        <f t="shared" si="47"/>
        <v>1466666.6666666677</v>
      </c>
      <c r="T61" s="53">
        <f>+Q$30*S61+R61</f>
        <v>217936.25783933589</v>
      </c>
      <c r="U61" s="87">
        <f>+U60</f>
        <v>1523809.5238095247</v>
      </c>
      <c r="V61" s="80">
        <f>+V60</f>
        <v>57142.857142857145</v>
      </c>
      <c r="W61" s="80">
        <f t="shared" si="48"/>
        <v>1466666.6666666677</v>
      </c>
      <c r="X61" s="53">
        <f>+U$30*W61+V61</f>
        <v>217936.25783933589</v>
      </c>
      <c r="Y61" s="87">
        <f>+Y60</f>
        <v>1523809.5238095247</v>
      </c>
      <c r="Z61" s="80">
        <f>+Z60</f>
        <v>57142.857142857145</v>
      </c>
      <c r="AA61" s="80">
        <f t="shared" si="49"/>
        <v>1466666.6666666677</v>
      </c>
      <c r="AB61" s="53">
        <f>+Y$30*AA61+Z61</f>
        <v>217936.25783933589</v>
      </c>
      <c r="AC61" s="87">
        <f>+AC60</f>
        <v>1542857.1428571437</v>
      </c>
      <c r="AD61" s="80">
        <f>+AD60</f>
        <v>57142.857142857145</v>
      </c>
      <c r="AE61" s="80">
        <f t="shared" si="50"/>
        <v>1485714.2857142866</v>
      </c>
      <c r="AF61" s="53">
        <f>+AC$30*AE61+AD61</f>
        <v>220024.48382240703</v>
      </c>
      <c r="AG61" s="87">
        <f>+AI59</f>
        <v>12473514.428571429</v>
      </c>
      <c r="AH61" s="80">
        <f>+AH60</f>
        <v>453582.34285714285</v>
      </c>
      <c r="AI61" s="80">
        <f t="shared" si="52"/>
        <v>12019932.085714286</v>
      </c>
      <c r="AJ61" s="53">
        <f>+AG$30*AI61+AH61</f>
        <v>1871977.6845299532</v>
      </c>
      <c r="AK61" s="87">
        <f>+AM59</f>
        <v>23213423.357142851</v>
      </c>
      <c r="AL61" s="80">
        <f>+AL60</f>
        <v>844124.48571428575</v>
      </c>
      <c r="AM61" s="80">
        <f t="shared" si="54"/>
        <v>22369298.871428564</v>
      </c>
      <c r="AN61" s="53">
        <f>+AK$30*AM61+AL61</f>
        <v>3483782.4379776372</v>
      </c>
      <c r="AO61" s="87">
        <f>+AQ59</f>
        <v>46028062.142857127</v>
      </c>
      <c r="AP61" s="80">
        <f>+AP60</f>
        <v>1673747.7142857143</v>
      </c>
      <c r="AQ61" s="80">
        <f t="shared" si="56"/>
        <v>44354314.42857141</v>
      </c>
      <c r="AR61" s="53">
        <f>+AO$30*AQ61+AP61</f>
        <v>6536393.8864658652</v>
      </c>
      <c r="AS61" s="87">
        <f>+AU59</f>
        <v>4106892.4285714272</v>
      </c>
      <c r="AT61" s="80">
        <f>+AT60</f>
        <v>149341.54285714286</v>
      </c>
      <c r="AU61" s="80">
        <f t="shared" si="58"/>
        <v>3957550.8857142841</v>
      </c>
      <c r="AV61" s="53">
        <f>+AS$30*AU61+AT61</f>
        <v>583215.22377307073</v>
      </c>
      <c r="AW61" s="87">
        <f>+AY59</f>
        <v>15493323.971428569</v>
      </c>
      <c r="AX61" s="80">
        <f>+AX60</f>
        <v>543480.11428571434</v>
      </c>
      <c r="AY61" s="80">
        <f t="shared" si="60"/>
        <v>14949843.857142854</v>
      </c>
      <c r="AZ61" s="53">
        <f>+AW$30*AY61+AX61</f>
        <v>2307615.61309683</v>
      </c>
      <c r="BA61" s="87">
        <f>+BC59</f>
        <v>44163674.972380936</v>
      </c>
      <c r="BB61" s="80">
        <f>+BB60</f>
        <v>1481495.7768571428</v>
      </c>
      <c r="BC61" s="80">
        <f t="shared" si="62"/>
        <v>42682179.195523791</v>
      </c>
      <c r="BD61" s="53">
        <f>+BA$30*BC61+BB61</f>
        <v>6160822.6463922076</v>
      </c>
      <c r="BE61" s="87">
        <f>+BG59</f>
        <v>7443372.8076190464</v>
      </c>
      <c r="BF61" s="80">
        <f>+BF60</f>
        <v>246385.85714285713</v>
      </c>
      <c r="BG61" s="80">
        <f t="shared" si="64"/>
        <v>7196986.9504761891</v>
      </c>
      <c r="BH61" s="53">
        <f>+BE$30*BG61+BF61</f>
        <v>1035404.9525077975</v>
      </c>
      <c r="BI61" s="87">
        <f>+BI60</f>
        <v>6814285.7142857136</v>
      </c>
      <c r="BJ61" s="80">
        <f t="shared" si="18"/>
        <v>257142.85714285713</v>
      </c>
      <c r="BK61" s="80">
        <f t="shared" si="13"/>
        <v>6557142.8571428563</v>
      </c>
      <c r="BL61" s="53">
        <f t="shared" si="15"/>
        <v>976014.65181510092</v>
      </c>
      <c r="BM61" s="87">
        <f>+BM60</f>
        <v>32871428.571428563</v>
      </c>
      <c r="BN61" s="80">
        <f t="shared" si="28"/>
        <v>1114285.7142857143</v>
      </c>
      <c r="BO61" s="80">
        <f t="shared" si="23"/>
        <v>31757142.857142851</v>
      </c>
      <c r="BP61" s="53">
        <f t="shared" si="25"/>
        <v>4595880.4845610904</v>
      </c>
      <c r="BQ61" s="87">
        <f>+BQ60</f>
        <v>8017142.8571428563</v>
      </c>
      <c r="BR61" s="80">
        <f t="shared" si="35"/>
        <v>262857.14285714284</v>
      </c>
      <c r="BS61" s="80">
        <f t="shared" si="29"/>
        <v>7754285.7142857136</v>
      </c>
      <c r="BT61" s="53">
        <f t="shared" si="31"/>
        <v>1112973.9405654084</v>
      </c>
      <c r="BU61" s="81">
        <f t="shared" si="10"/>
        <v>39686893.690894514</v>
      </c>
      <c r="BV61" s="84">
        <f t="shared" si="45"/>
        <v>39686893.690894514</v>
      </c>
      <c r="BW61" s="38"/>
      <c r="BY61" s="83"/>
    </row>
    <row r="62" spans="1:78">
      <c r="A62">
        <v>47</v>
      </c>
      <c r="C62" s="37" t="str">
        <f t="shared" si="11"/>
        <v>Base FCR</v>
      </c>
      <c r="D62" s="79">
        <f t="shared" si="12"/>
        <v>2021</v>
      </c>
      <c r="E62" s="80">
        <f>+G61</f>
        <v>22572005.595238082</v>
      </c>
      <c r="F62" s="80">
        <f>+E$32</f>
        <v>958810.85714285716</v>
      </c>
      <c r="G62" s="80">
        <f t="shared" si="46"/>
        <v>21613194.738095224</v>
      </c>
      <c r="H62" s="43">
        <f>+E$29*G62+F62</f>
        <v>3328305.6856793817</v>
      </c>
      <c r="I62" s="87">
        <f>+K61</f>
        <v>26913333.33333334</v>
      </c>
      <c r="J62" s="80">
        <f>+I$32</f>
        <v>1048571.4285714285</v>
      </c>
      <c r="K62" s="80">
        <f t="shared" si="0"/>
        <v>25864761.90476191</v>
      </c>
      <c r="L62" s="53">
        <f>+I$29*K62+J62</f>
        <v>3884173.4909837455</v>
      </c>
      <c r="M62" s="87">
        <f>+O61</f>
        <v>14666666.666666672</v>
      </c>
      <c r="N62" s="80">
        <f>+M$32</f>
        <v>571428.57142857148</v>
      </c>
      <c r="O62" s="80">
        <f t="shared" si="1"/>
        <v>14095238.095238101</v>
      </c>
      <c r="P62" s="53">
        <f>+M$29*O62+N62</f>
        <v>2116715.798901224</v>
      </c>
      <c r="Q62" s="87">
        <f>+S61</f>
        <v>1466666.6666666677</v>
      </c>
      <c r="R62" s="80">
        <f>+Q$32</f>
        <v>57142.857142857145</v>
      </c>
      <c r="S62" s="80">
        <f t="shared" si="47"/>
        <v>1409523.8095238106</v>
      </c>
      <c r="T62" s="53">
        <f>+Q$29*S62+R62</f>
        <v>211671.57989012246</v>
      </c>
      <c r="U62" s="87">
        <f>+W61</f>
        <v>1466666.6666666677</v>
      </c>
      <c r="V62" s="80">
        <f>+U$32</f>
        <v>57142.857142857145</v>
      </c>
      <c r="W62" s="80">
        <f t="shared" si="48"/>
        <v>1409523.8095238106</v>
      </c>
      <c r="X62" s="53">
        <f>+U$29*W62+V62</f>
        <v>211671.57989012246</v>
      </c>
      <c r="Y62" s="87">
        <f>+AA61</f>
        <v>1466666.6666666677</v>
      </c>
      <c r="Z62" s="80">
        <f>+Y$32</f>
        <v>57142.857142857145</v>
      </c>
      <c r="AA62" s="80">
        <f t="shared" si="49"/>
        <v>1409523.8095238106</v>
      </c>
      <c r="AB62" s="53">
        <f>+Y$29*AA62+Z62</f>
        <v>211671.57989012246</v>
      </c>
      <c r="AC62" s="87">
        <f>+AE61</f>
        <v>1485714.2857142866</v>
      </c>
      <c r="AD62" s="80">
        <f>+AC$32</f>
        <v>57142.857142857145</v>
      </c>
      <c r="AE62" s="80">
        <f t="shared" si="50"/>
        <v>1428571.4285714296</v>
      </c>
      <c r="AF62" s="53">
        <f>+AC$29*AE62+AD62</f>
        <v>213759.8058731936</v>
      </c>
      <c r="AG62" s="87">
        <f t="shared" si="51"/>
        <v>12019932.085714286</v>
      </c>
      <c r="AH62" s="80">
        <f>+AG$32</f>
        <v>453582.34285714285</v>
      </c>
      <c r="AI62" s="80">
        <f t="shared" si="52"/>
        <v>11566349.742857143</v>
      </c>
      <c r="AJ62" s="53">
        <f>+AG$29*AI62+AH62</f>
        <v>1721622.8261290803</v>
      </c>
      <c r="AK62" s="87">
        <f t="shared" si="53"/>
        <v>22369298.871428564</v>
      </c>
      <c r="AL62" s="80">
        <f>+AK$32</f>
        <v>844124.48571428575</v>
      </c>
      <c r="AM62" s="80">
        <f t="shared" si="54"/>
        <v>21525174.385714278</v>
      </c>
      <c r="AN62" s="53">
        <f>+AK$29*AM62+AL62</f>
        <v>3203969.4789395593</v>
      </c>
      <c r="AO62" s="87">
        <f t="shared" si="55"/>
        <v>44354314.42857141</v>
      </c>
      <c r="AP62" s="80">
        <f>+AO$32</f>
        <v>1673747.7142857143</v>
      </c>
      <c r="AQ62" s="80">
        <f t="shared" si="56"/>
        <v>42680566.714285694</v>
      </c>
      <c r="AR62" s="53">
        <f>+AO$29*AQ62+AP62</f>
        <v>6352897.8044968024</v>
      </c>
      <c r="AS62" s="87">
        <f t="shared" si="57"/>
        <v>3957550.8857142841</v>
      </c>
      <c r="AT62" s="80">
        <f>+AS$32</f>
        <v>149341.54285714286</v>
      </c>
      <c r="AU62" s="80">
        <f t="shared" si="58"/>
        <v>3808209.342857141</v>
      </c>
      <c r="AV62" s="53">
        <f>+AS$29*AU62+AT62</f>
        <v>566842.63204039424</v>
      </c>
      <c r="AW62" s="87">
        <f t="shared" ref="AW62" si="68">+AY61</f>
        <v>14949843.857142854</v>
      </c>
      <c r="AX62" s="80">
        <f>+AW$32</f>
        <v>543480.11428571434</v>
      </c>
      <c r="AY62" s="80">
        <f t="shared" si="60"/>
        <v>14406363.74285714</v>
      </c>
      <c r="AZ62" s="53">
        <f>+AW$29*AY62+AX62</f>
        <v>2122876.6264796574</v>
      </c>
      <c r="BA62" s="87">
        <f t="shared" ref="BA62" si="69">+BC61</f>
        <v>42682179.195523791</v>
      </c>
      <c r="BB62" s="80">
        <f>+BA$32</f>
        <v>1481495.7768571428</v>
      </c>
      <c r="BC62" s="80">
        <f t="shared" si="62"/>
        <v>41200683.418666646</v>
      </c>
      <c r="BD62" s="53">
        <f>+BA$29*BC62+BB62</f>
        <v>5998403.5027024355</v>
      </c>
      <c r="BE62" s="87">
        <f t="shared" ref="BE62" si="70">+BG61</f>
        <v>7196986.9504761891</v>
      </c>
      <c r="BF62" s="80">
        <f>+BE$32</f>
        <v>246385.85714285713</v>
      </c>
      <c r="BG62" s="80">
        <f t="shared" si="64"/>
        <v>6950601.0933333319</v>
      </c>
      <c r="BH62" s="53">
        <f>+BE$29*BG62+BF62</f>
        <v>1008393.2116985816</v>
      </c>
      <c r="BI62" s="87">
        <f t="shared" si="17"/>
        <v>6557142.8571428563</v>
      </c>
      <c r="BJ62" s="80">
        <f t="shared" si="18"/>
        <v>257142.85714285713</v>
      </c>
      <c r="BK62" s="80">
        <f t="shared" si="13"/>
        <v>6299999.9999999991</v>
      </c>
      <c r="BL62" s="53">
        <f t="shared" si="15"/>
        <v>947823.6010436404</v>
      </c>
      <c r="BM62" s="87">
        <f t="shared" ref="BM62" si="71">+BO61</f>
        <v>31757142.857142851</v>
      </c>
      <c r="BN62" s="80">
        <f t="shared" si="28"/>
        <v>1114285.7142857143</v>
      </c>
      <c r="BO62" s="80">
        <f t="shared" si="23"/>
        <v>30642857.142857138</v>
      </c>
      <c r="BP62" s="53">
        <f t="shared" si="25"/>
        <v>4473719.2645514281</v>
      </c>
      <c r="BQ62" s="87">
        <f t="shared" ref="BQ62" si="72">+BS61</f>
        <v>7754285.7142857136</v>
      </c>
      <c r="BR62" s="80">
        <f t="shared" si="35"/>
        <v>262857.14285714284</v>
      </c>
      <c r="BS62" s="80">
        <f t="shared" si="29"/>
        <v>7491428.5714285709</v>
      </c>
      <c r="BT62" s="53">
        <f t="shared" si="31"/>
        <v>1084156.4219990266</v>
      </c>
      <c r="BU62" s="81">
        <f t="shared" si="10"/>
        <v>37658674.891188525</v>
      </c>
      <c r="BV62" s="36"/>
      <c r="BW62" s="82">
        <f t="shared" ref="BW62" si="73">+BU62</f>
        <v>37658674.891188525</v>
      </c>
    </row>
    <row r="63" spans="1:78">
      <c r="A63">
        <v>48</v>
      </c>
      <c r="C63" s="37" t="str">
        <f t="shared" si="11"/>
        <v>W Increased ROE</v>
      </c>
      <c r="D63" s="79">
        <f t="shared" si="12"/>
        <v>2021</v>
      </c>
      <c r="E63" s="80">
        <f>+E62</f>
        <v>22572005.595238082</v>
      </c>
      <c r="F63" s="80">
        <f>+F62</f>
        <v>958810.85714285716</v>
      </c>
      <c r="G63" s="80">
        <f t="shared" si="46"/>
        <v>21613194.738095224</v>
      </c>
      <c r="H63" s="43">
        <f>+E$30*G63+F63</f>
        <v>3509245.7944264333</v>
      </c>
      <c r="I63" s="87">
        <f>+I62</f>
        <v>26913333.33333334</v>
      </c>
      <c r="J63" s="80">
        <f>+J62</f>
        <v>1048571.4285714285</v>
      </c>
      <c r="K63" s="80">
        <f t="shared" si="0"/>
        <v>25864761.90476191</v>
      </c>
      <c r="L63" s="53">
        <f>+I$30*K63+J63</f>
        <v>4100706.6268054177</v>
      </c>
      <c r="M63" s="87">
        <f>+M62</f>
        <v>14666666.666666672</v>
      </c>
      <c r="N63" s="80">
        <f>+N62</f>
        <v>571428.57142857148</v>
      </c>
      <c r="O63" s="80">
        <f t="shared" si="1"/>
        <v>14095238.095238101</v>
      </c>
      <c r="P63" s="53">
        <f>+M$30*O63+N63</f>
        <v>2234717.507795868</v>
      </c>
      <c r="Q63" s="87">
        <f>+Q62</f>
        <v>1466666.6666666677</v>
      </c>
      <c r="R63" s="80">
        <f>+R62</f>
        <v>57142.857142857145</v>
      </c>
      <c r="S63" s="80">
        <f t="shared" si="47"/>
        <v>1409523.8095238106</v>
      </c>
      <c r="T63" s="53">
        <f>+Q$30*S63+R63</f>
        <v>211671.57989012246</v>
      </c>
      <c r="U63" s="87">
        <f>+U62</f>
        <v>1466666.6666666677</v>
      </c>
      <c r="V63" s="80">
        <f>+V62</f>
        <v>57142.857142857145</v>
      </c>
      <c r="W63" s="80">
        <f t="shared" si="48"/>
        <v>1409523.8095238106</v>
      </c>
      <c r="X63" s="53">
        <f>+U$30*W63+V63</f>
        <v>211671.57989012246</v>
      </c>
      <c r="Y63" s="87">
        <f>+Y62</f>
        <v>1466666.6666666677</v>
      </c>
      <c r="Z63" s="80">
        <f>+Z62</f>
        <v>57142.857142857145</v>
      </c>
      <c r="AA63" s="80">
        <f t="shared" si="49"/>
        <v>1409523.8095238106</v>
      </c>
      <c r="AB63" s="53">
        <f>+Y$30*AA63+Z63</f>
        <v>211671.57989012246</v>
      </c>
      <c r="AC63" s="87">
        <f>+AC62</f>
        <v>1485714.2857142866</v>
      </c>
      <c r="AD63" s="80">
        <f>+AD62</f>
        <v>57142.857142857145</v>
      </c>
      <c r="AE63" s="80">
        <f t="shared" si="50"/>
        <v>1428571.4285714296</v>
      </c>
      <c r="AF63" s="53">
        <f>+AC$30*AE63+AD63</f>
        <v>213759.8058731936</v>
      </c>
      <c r="AG63" s="87">
        <f>+AI61</f>
        <v>12019932.085714286</v>
      </c>
      <c r="AH63" s="80">
        <f>+AH62</f>
        <v>453582.34285714285</v>
      </c>
      <c r="AI63" s="80">
        <f t="shared" si="52"/>
        <v>11566349.742857143</v>
      </c>
      <c r="AJ63" s="53">
        <f>+AG$30*AI63+AH63</f>
        <v>1818453.3320139982</v>
      </c>
      <c r="AK63" s="87">
        <f>+AM61</f>
        <v>22369298.871428564</v>
      </c>
      <c r="AL63" s="80">
        <f>+AL62</f>
        <v>844124.48571428575</v>
      </c>
      <c r="AM63" s="80">
        <f t="shared" si="54"/>
        <v>21525174.385714278</v>
      </c>
      <c r="AN63" s="53">
        <f>+AK$30*AM63+AL63</f>
        <v>3384172.7039299635</v>
      </c>
      <c r="AO63" s="87">
        <f>+AQ61</f>
        <v>44354314.42857141</v>
      </c>
      <c r="AP63" s="80">
        <f>+AP62</f>
        <v>1673747.7142857143</v>
      </c>
      <c r="AQ63" s="80">
        <f t="shared" si="56"/>
        <v>42680566.714285694</v>
      </c>
      <c r="AR63" s="53">
        <f>+AO$30*AQ63+AP63</f>
        <v>6352897.8044968024</v>
      </c>
      <c r="AS63" s="87">
        <f>+AU61</f>
        <v>3957550.8857142841</v>
      </c>
      <c r="AT63" s="80">
        <f>+AT62</f>
        <v>149341.54285714286</v>
      </c>
      <c r="AU63" s="80">
        <f t="shared" si="58"/>
        <v>3808209.342857141</v>
      </c>
      <c r="AV63" s="53">
        <f>+AS$30*AU63+AT63</f>
        <v>566842.63204039424</v>
      </c>
      <c r="AW63" s="87">
        <f>+AY61</f>
        <v>14949843.857142854</v>
      </c>
      <c r="AX63" s="80">
        <f>+AX62</f>
        <v>543480.11428571434</v>
      </c>
      <c r="AY63" s="80">
        <f t="shared" si="60"/>
        <v>14406363.74285714</v>
      </c>
      <c r="AZ63" s="53">
        <f>+AW$30*AY63+AX63</f>
        <v>2243482.9992935583</v>
      </c>
      <c r="BA63" s="87">
        <f>+BC61</f>
        <v>42682179.195523791</v>
      </c>
      <c r="BB63" s="80">
        <f>+BB62</f>
        <v>1481495.7768571428</v>
      </c>
      <c r="BC63" s="80">
        <f t="shared" si="62"/>
        <v>41200683.418666646</v>
      </c>
      <c r="BD63" s="53">
        <f>+BA$30*BC63+BB63</f>
        <v>5998403.5027024355</v>
      </c>
      <c r="BE63" s="87">
        <f>+BG61</f>
        <v>7196986.9504761891</v>
      </c>
      <c r="BF63" s="80">
        <f>+BF62</f>
        <v>246385.85714285713</v>
      </c>
      <c r="BG63" s="80">
        <f t="shared" si="64"/>
        <v>6950601.0933333319</v>
      </c>
      <c r="BH63" s="53">
        <f>+BE$30*BG63+BF63</f>
        <v>1008393.2116985816</v>
      </c>
      <c r="BI63" s="87">
        <f>+BI62</f>
        <v>6557142.8571428563</v>
      </c>
      <c r="BJ63" s="80">
        <f t="shared" si="18"/>
        <v>257142.85714285713</v>
      </c>
      <c r="BK63" s="80">
        <f t="shared" si="13"/>
        <v>6299999.9999999991</v>
      </c>
      <c r="BL63" s="53">
        <f t="shared" si="15"/>
        <v>947823.6010436404</v>
      </c>
      <c r="BM63" s="87">
        <f>+BM62</f>
        <v>31757142.857142851</v>
      </c>
      <c r="BN63" s="80">
        <f t="shared" si="28"/>
        <v>1114285.7142857143</v>
      </c>
      <c r="BO63" s="80">
        <f t="shared" si="23"/>
        <v>30642857.142857138</v>
      </c>
      <c r="BP63" s="53">
        <f t="shared" si="25"/>
        <v>4473719.2645514281</v>
      </c>
      <c r="BQ63" s="87">
        <f>+BQ62</f>
        <v>7754285.7142857136</v>
      </c>
      <c r="BR63" s="80">
        <f t="shared" si="35"/>
        <v>262857.14285714284</v>
      </c>
      <c r="BS63" s="80">
        <f t="shared" si="29"/>
        <v>7491428.5714285709</v>
      </c>
      <c r="BT63" s="53">
        <f t="shared" si="31"/>
        <v>1084156.4219990266</v>
      </c>
      <c r="BU63" s="81">
        <f t="shared" si="10"/>
        <v>38571789.948341109</v>
      </c>
      <c r="BV63" s="84">
        <f t="shared" si="45"/>
        <v>38571789.948341109</v>
      </c>
      <c r="BW63" s="38"/>
    </row>
    <row r="64" spans="1:78">
      <c r="A64">
        <v>49</v>
      </c>
      <c r="C64" s="37" t="str">
        <f t="shared" si="11"/>
        <v>Base FCR</v>
      </c>
      <c r="D64" s="79">
        <f t="shared" si="12"/>
        <v>2022</v>
      </c>
      <c r="E64" s="80">
        <f>+G63</f>
        <v>21613194.738095224</v>
      </c>
      <c r="F64" s="80">
        <f>+E$32</f>
        <v>958810.85714285716</v>
      </c>
      <c r="G64" s="80">
        <f t="shared" si="46"/>
        <v>20654383.880952366</v>
      </c>
      <c r="H64" s="43">
        <f>+E$29*G64+F64</f>
        <v>3223189.4640807188</v>
      </c>
      <c r="I64" s="87">
        <f>+K63</f>
        <v>25864761.90476191</v>
      </c>
      <c r="J64" s="80">
        <f>+I$32</f>
        <v>1048571.4285714285</v>
      </c>
      <c r="K64" s="80">
        <f t="shared" si="0"/>
        <v>24816190.476190481</v>
      </c>
      <c r="L64" s="53">
        <f>+I$29*K64+J64</f>
        <v>3769216.6506156786</v>
      </c>
      <c r="M64" s="87">
        <f>+O63</f>
        <v>14095238.095238101</v>
      </c>
      <c r="N64" s="80">
        <f>+M$32</f>
        <v>571428.57142857148</v>
      </c>
      <c r="O64" s="80">
        <f t="shared" si="1"/>
        <v>13523809.52380953</v>
      </c>
      <c r="P64" s="53">
        <f>+M$29*O64+N64</f>
        <v>2054069.0194090898</v>
      </c>
      <c r="Q64" s="87">
        <f>+S63</f>
        <v>1409523.8095238106</v>
      </c>
      <c r="R64" s="80">
        <f>+Q$32</f>
        <v>57142.857142857145</v>
      </c>
      <c r="S64" s="80">
        <f t="shared" si="47"/>
        <v>1352380.9523809536</v>
      </c>
      <c r="T64" s="53">
        <f>+Q$29*S64+R64</f>
        <v>205406.90194090904</v>
      </c>
      <c r="U64" s="87">
        <f>+W63</f>
        <v>1409523.8095238106</v>
      </c>
      <c r="V64" s="80">
        <f>+U$32</f>
        <v>57142.857142857145</v>
      </c>
      <c r="W64" s="80">
        <f t="shared" si="48"/>
        <v>1352380.9523809536</v>
      </c>
      <c r="X64" s="53">
        <f>+U$29*W64+V64</f>
        <v>205406.90194090904</v>
      </c>
      <c r="Y64" s="87">
        <f>+AA63</f>
        <v>1409523.8095238106</v>
      </c>
      <c r="Z64" s="80">
        <f>+Y$32</f>
        <v>57142.857142857145</v>
      </c>
      <c r="AA64" s="80">
        <f t="shared" si="49"/>
        <v>1352380.9523809536</v>
      </c>
      <c r="AB64" s="53">
        <f>+Y$29*AA64+Z64</f>
        <v>205406.90194090904</v>
      </c>
      <c r="AC64" s="87">
        <f>+AE63</f>
        <v>1428571.4285714296</v>
      </c>
      <c r="AD64" s="80">
        <f>+AC$32</f>
        <v>57142.857142857145</v>
      </c>
      <c r="AE64" s="80">
        <f t="shared" si="50"/>
        <v>1371428.5714285725</v>
      </c>
      <c r="AF64" s="53">
        <f>+AC$29*AE64+AD64</f>
        <v>207495.12792398018</v>
      </c>
      <c r="AG64" s="87">
        <f t="shared" si="51"/>
        <v>11566349.742857143</v>
      </c>
      <c r="AH64" s="80">
        <f>+AG$32</f>
        <v>453582.34285714285</v>
      </c>
      <c r="AI64" s="80">
        <f t="shared" si="52"/>
        <v>11112767.4</v>
      </c>
      <c r="AJ64" s="53">
        <f>+AG$29*AI64+AH64</f>
        <v>1671895.7483537102</v>
      </c>
      <c r="AK64" s="87">
        <f t="shared" si="53"/>
        <v>21525174.385714278</v>
      </c>
      <c r="AL64" s="80">
        <f>+AK$32</f>
        <v>844124.48571428575</v>
      </c>
      <c r="AM64" s="80">
        <f t="shared" si="54"/>
        <v>20681049.899999991</v>
      </c>
      <c r="AN64" s="53">
        <f>+AK$29*AM64+AL64</f>
        <v>3111426.5380287641</v>
      </c>
      <c r="AO64" s="87">
        <f t="shared" si="55"/>
        <v>42680566.714285694</v>
      </c>
      <c r="AP64" s="80">
        <f>+AO$32</f>
        <v>1673747.7142857143</v>
      </c>
      <c r="AQ64" s="80">
        <f t="shared" si="56"/>
        <v>41006818.999999978</v>
      </c>
      <c r="AR64" s="53">
        <f>+AO$29*AQ64+AP64</f>
        <v>6169401.7225277396</v>
      </c>
      <c r="AS64" s="87">
        <f t="shared" si="57"/>
        <v>3808209.342857141</v>
      </c>
      <c r="AT64" s="80">
        <f>+AS$32</f>
        <v>149341.54285714286</v>
      </c>
      <c r="AU64" s="80">
        <f t="shared" si="58"/>
        <v>3658867.799999998</v>
      </c>
      <c r="AV64" s="53">
        <f>+AS$29*AU64+AT64</f>
        <v>550470.04030771763</v>
      </c>
      <c r="AW64" s="87">
        <f t="shared" ref="AW64" si="74">+AY63</f>
        <v>14406363.74285714</v>
      </c>
      <c r="AX64" s="80">
        <f>+AW$32</f>
        <v>543480.11428571434</v>
      </c>
      <c r="AY64" s="80">
        <f t="shared" si="60"/>
        <v>13862883.628571425</v>
      </c>
      <c r="AZ64" s="53">
        <f>+AW$29*AY64+AX64</f>
        <v>2063293.8884431273</v>
      </c>
      <c r="BA64" s="87">
        <f t="shared" ref="BA64" si="75">+BC63</f>
        <v>41200683.418666646</v>
      </c>
      <c r="BB64" s="80">
        <f>+BA$32</f>
        <v>1481495.7768571428</v>
      </c>
      <c r="BC64" s="80">
        <f t="shared" si="62"/>
        <v>39719187.641809501</v>
      </c>
      <c r="BD64" s="53">
        <f>+BA$29*BC64+BB64</f>
        <v>5835984.3590126634</v>
      </c>
      <c r="BE64" s="87">
        <f t="shared" ref="BE64" si="76">+BG63</f>
        <v>6950601.0933333319</v>
      </c>
      <c r="BF64" s="80">
        <f>+BE$32</f>
        <v>246385.85714285713</v>
      </c>
      <c r="BG64" s="80">
        <f t="shared" si="64"/>
        <v>6704215.2361904746</v>
      </c>
      <c r="BH64" s="53">
        <f>+BE$29*BG64+BF64</f>
        <v>981381.47088936553</v>
      </c>
      <c r="BI64" s="87">
        <f t="shared" si="17"/>
        <v>6299999.9999999991</v>
      </c>
      <c r="BJ64" s="80">
        <f t="shared" si="18"/>
        <v>257142.85714285713</v>
      </c>
      <c r="BK64" s="80">
        <f t="shared" si="13"/>
        <v>6042857.1428571418</v>
      </c>
      <c r="BL64" s="53">
        <f t="shared" si="15"/>
        <v>919632.55027217977</v>
      </c>
      <c r="BM64" s="87">
        <f t="shared" ref="BM64" si="77">+BO63</f>
        <v>30642857.142857138</v>
      </c>
      <c r="BN64" s="80">
        <f t="shared" si="28"/>
        <v>1114285.7142857143</v>
      </c>
      <c r="BO64" s="80">
        <f t="shared" si="23"/>
        <v>29528571.428571425</v>
      </c>
      <c r="BP64" s="53">
        <f t="shared" si="25"/>
        <v>4351558.0445417659</v>
      </c>
      <c r="BQ64" s="87">
        <f t="shared" ref="BQ64" si="78">+BS63</f>
        <v>7491428.5714285709</v>
      </c>
      <c r="BR64" s="80">
        <f t="shared" si="35"/>
        <v>262857.14285714284</v>
      </c>
      <c r="BS64" s="80">
        <f t="shared" si="29"/>
        <v>7228571.4285714282</v>
      </c>
      <c r="BT64" s="53">
        <f t="shared" si="31"/>
        <v>1055338.9034326449</v>
      </c>
      <c r="BU64" s="81">
        <f t="shared" si="10"/>
        <v>36580574.233661875</v>
      </c>
      <c r="BV64" s="36"/>
      <c r="BW64" s="82">
        <f t="shared" ref="BW64" si="79">+BU64</f>
        <v>36580574.233661875</v>
      </c>
    </row>
    <row r="65" spans="1:75">
      <c r="A65">
        <v>50</v>
      </c>
      <c r="C65" s="37" t="str">
        <f t="shared" si="11"/>
        <v>W Increased ROE</v>
      </c>
      <c r="D65" s="79">
        <f t="shared" si="12"/>
        <v>2022</v>
      </c>
      <c r="E65" s="80">
        <f>+E64</f>
        <v>21613194.738095224</v>
      </c>
      <c r="F65" s="80">
        <f>+F64</f>
        <v>958810.85714285716</v>
      </c>
      <c r="G65" s="80">
        <f t="shared" si="46"/>
        <v>20654383.880952366</v>
      </c>
      <c r="H65" s="43">
        <f>+E$30*G65+F65</f>
        <v>3396102.6548796571</v>
      </c>
      <c r="I65" s="87">
        <f>+I64</f>
        <v>25864761.90476191</v>
      </c>
      <c r="J65" s="80">
        <f>+J64</f>
        <v>1048571.4285714285</v>
      </c>
      <c r="K65" s="80">
        <f t="shared" si="0"/>
        <v>24816190.476190481</v>
      </c>
      <c r="L65" s="53">
        <f>+I$30*K65+J65</f>
        <v>3976971.4160662019</v>
      </c>
      <c r="M65" s="87">
        <f>+M64</f>
        <v>14095238.095238101</v>
      </c>
      <c r="N65" s="80">
        <f>+N64</f>
        <v>571428.57142857148</v>
      </c>
      <c r="O65" s="80">
        <f t="shared" si="1"/>
        <v>13523809.52380953</v>
      </c>
      <c r="P65" s="53">
        <f>+M$30*O65+N65</f>
        <v>2167286.8752404372</v>
      </c>
      <c r="Q65" s="87">
        <f>+Q64</f>
        <v>1409523.8095238106</v>
      </c>
      <c r="R65" s="80">
        <f>+R64</f>
        <v>57142.857142857145</v>
      </c>
      <c r="S65" s="80">
        <f t="shared" si="47"/>
        <v>1352380.9523809536</v>
      </c>
      <c r="T65" s="53">
        <f>+Q$30*S65+R65</f>
        <v>205406.90194090904</v>
      </c>
      <c r="U65" s="87">
        <f>+U64</f>
        <v>1409523.8095238106</v>
      </c>
      <c r="V65" s="80">
        <f>+V64</f>
        <v>57142.857142857145</v>
      </c>
      <c r="W65" s="80">
        <f t="shared" si="48"/>
        <v>1352380.9523809536</v>
      </c>
      <c r="X65" s="53">
        <f>+U$30*W65+V65</f>
        <v>205406.90194090904</v>
      </c>
      <c r="Y65" s="87">
        <f>+Y64</f>
        <v>1409523.8095238106</v>
      </c>
      <c r="Z65" s="80">
        <f>+Z64</f>
        <v>57142.857142857145</v>
      </c>
      <c r="AA65" s="80">
        <f t="shared" si="49"/>
        <v>1352380.9523809536</v>
      </c>
      <c r="AB65" s="53">
        <f>+Y$30*AA65+Z65</f>
        <v>205406.90194090904</v>
      </c>
      <c r="AC65" s="87">
        <f>+AC64</f>
        <v>1428571.4285714296</v>
      </c>
      <c r="AD65" s="80">
        <f>+AD64</f>
        <v>57142.857142857145</v>
      </c>
      <c r="AE65" s="80">
        <f t="shared" si="50"/>
        <v>1371428.5714285725</v>
      </c>
      <c r="AF65" s="53">
        <f>+AC$30*AE65+AD65</f>
        <v>207495.12792398018</v>
      </c>
      <c r="AG65" s="87">
        <f>+AI63</f>
        <v>11566349.742857143</v>
      </c>
      <c r="AH65" s="80">
        <f>+AH64</f>
        <v>453582.34285714285</v>
      </c>
      <c r="AI65" s="80">
        <f t="shared" si="52"/>
        <v>11112767.4</v>
      </c>
      <c r="AJ65" s="53">
        <f>+AG$30*AI65+AH65</f>
        <v>1764928.979498043</v>
      </c>
      <c r="AK65" s="87">
        <f>+AM63</f>
        <v>21525174.385714278</v>
      </c>
      <c r="AL65" s="80">
        <f>+AL64</f>
        <v>844124.48571428575</v>
      </c>
      <c r="AM65" s="80">
        <f t="shared" si="54"/>
        <v>20681049.899999991</v>
      </c>
      <c r="AN65" s="53">
        <f>+AK$30*AM65+AL65</f>
        <v>3284562.9698822894</v>
      </c>
      <c r="AO65" s="87">
        <f>+AQ63</f>
        <v>42680566.714285694</v>
      </c>
      <c r="AP65" s="80">
        <f>+AP64</f>
        <v>1673747.7142857143</v>
      </c>
      <c r="AQ65" s="80">
        <f t="shared" si="56"/>
        <v>41006818.999999978</v>
      </c>
      <c r="AR65" s="53">
        <f>+AO$30*AQ65+AP65</f>
        <v>6169401.7225277396</v>
      </c>
      <c r="AS65" s="87">
        <f>+AU63</f>
        <v>3808209.342857141</v>
      </c>
      <c r="AT65" s="80">
        <f>+AT64</f>
        <v>149341.54285714286</v>
      </c>
      <c r="AU65" s="80">
        <f t="shared" si="58"/>
        <v>3658867.799999998</v>
      </c>
      <c r="AV65" s="53">
        <f>+AS$30*AU65+AT65</f>
        <v>550470.04030771763</v>
      </c>
      <c r="AW65" s="87">
        <f>+AY63</f>
        <v>14406363.74285714</v>
      </c>
      <c r="AX65" s="80">
        <f>+AX64</f>
        <v>543480.11428571434</v>
      </c>
      <c r="AY65" s="80">
        <f t="shared" si="60"/>
        <v>13862883.628571425</v>
      </c>
      <c r="AZ65" s="53">
        <f>+AW$30*AY65+AX65</f>
        <v>2179350.3854902871</v>
      </c>
      <c r="BA65" s="87">
        <f>+BC63</f>
        <v>41200683.418666646</v>
      </c>
      <c r="BB65" s="80">
        <f>+BB64</f>
        <v>1481495.7768571428</v>
      </c>
      <c r="BC65" s="80">
        <f t="shared" si="62"/>
        <v>39719187.641809501</v>
      </c>
      <c r="BD65" s="53">
        <f>+BA$30*BC65+BB65</f>
        <v>5835984.3590126634</v>
      </c>
      <c r="BE65" s="87">
        <f>+BG63</f>
        <v>6950601.0933333319</v>
      </c>
      <c r="BF65" s="80">
        <f>+BF64</f>
        <v>246385.85714285713</v>
      </c>
      <c r="BG65" s="80">
        <f t="shared" si="64"/>
        <v>6704215.2361904746</v>
      </c>
      <c r="BH65" s="53">
        <f>+BE$30*BG65+BF65</f>
        <v>981381.47088936553</v>
      </c>
      <c r="BI65" s="87">
        <f>+BI64</f>
        <v>6299999.9999999991</v>
      </c>
      <c r="BJ65" s="80">
        <f t="shared" si="18"/>
        <v>257142.85714285713</v>
      </c>
      <c r="BK65" s="80">
        <f t="shared" si="13"/>
        <v>6042857.1428571418</v>
      </c>
      <c r="BL65" s="53">
        <f t="shared" si="15"/>
        <v>919632.55027217977</v>
      </c>
      <c r="BM65" s="87">
        <f>+BM64</f>
        <v>30642857.142857138</v>
      </c>
      <c r="BN65" s="80">
        <f t="shared" si="28"/>
        <v>1114285.7142857143</v>
      </c>
      <c r="BO65" s="80">
        <f t="shared" si="23"/>
        <v>29528571.428571425</v>
      </c>
      <c r="BP65" s="53">
        <f t="shared" si="25"/>
        <v>4351558.0445417659</v>
      </c>
      <c r="BQ65" s="87">
        <f>+BQ64</f>
        <v>7491428.5714285709</v>
      </c>
      <c r="BR65" s="80">
        <f t="shared" si="35"/>
        <v>262857.14285714284</v>
      </c>
      <c r="BS65" s="80">
        <f t="shared" si="29"/>
        <v>7228571.4285714282</v>
      </c>
      <c r="BT65" s="53">
        <f t="shared" si="31"/>
        <v>1055338.9034326449</v>
      </c>
      <c r="BU65" s="81">
        <f t="shared" si="10"/>
        <v>37456686.205787703</v>
      </c>
      <c r="BV65" s="84">
        <f t="shared" si="45"/>
        <v>37456686.205787703</v>
      </c>
      <c r="BW65" s="38"/>
    </row>
    <row r="66" spans="1:75">
      <c r="A66">
        <v>51</v>
      </c>
      <c r="C66" s="37" t="str">
        <f t="shared" si="11"/>
        <v>Base FCR</v>
      </c>
      <c r="D66" s="79">
        <f t="shared" si="12"/>
        <v>2023</v>
      </c>
      <c r="E66" s="80">
        <f>+G65</f>
        <v>20654383.880952366</v>
      </c>
      <c r="F66" s="80">
        <f>+E$32</f>
        <v>958810.85714285716</v>
      </c>
      <c r="G66" s="80">
        <f t="shared" si="46"/>
        <v>19695573.023809507</v>
      </c>
      <c r="H66" s="43">
        <f>+E$29*G66+F66</f>
        <v>3118073.2424820559</v>
      </c>
      <c r="I66" s="87">
        <f>+K65</f>
        <v>24816190.476190481</v>
      </c>
      <c r="J66" s="80">
        <f>+I$32</f>
        <v>1048571.4285714285</v>
      </c>
      <c r="K66" s="80">
        <f t="shared" si="0"/>
        <v>23767619.047619052</v>
      </c>
      <c r="L66" s="53">
        <f>+I$29*K66+J66</f>
        <v>3654259.8102476117</v>
      </c>
      <c r="M66" s="87">
        <f>+O65</f>
        <v>13523809.52380953</v>
      </c>
      <c r="N66" s="80">
        <f>+M$32</f>
        <v>571428.57142857148</v>
      </c>
      <c r="O66" s="80">
        <f t="shared" si="1"/>
        <v>12952380.952380959</v>
      </c>
      <c r="P66" s="53">
        <f>+M$29*O66+N66</f>
        <v>1991422.2399169551</v>
      </c>
      <c r="Q66" s="87">
        <f>+S65</f>
        <v>1352380.9523809536</v>
      </c>
      <c r="R66" s="80">
        <f>+Q$32</f>
        <v>57142.857142857145</v>
      </c>
      <c r="S66" s="80">
        <f t="shared" si="47"/>
        <v>1295238.0952380965</v>
      </c>
      <c r="T66" s="53">
        <f>+Q$29*S66+R66</f>
        <v>199142.22399169556</v>
      </c>
      <c r="U66" s="87">
        <f>+W65</f>
        <v>1352380.9523809536</v>
      </c>
      <c r="V66" s="80">
        <f>+U$32</f>
        <v>57142.857142857145</v>
      </c>
      <c r="W66" s="80">
        <f t="shared" si="48"/>
        <v>1295238.0952380965</v>
      </c>
      <c r="X66" s="53">
        <f>+U$29*W66+V66</f>
        <v>199142.22399169556</v>
      </c>
      <c r="Y66" s="87">
        <f>+AA65</f>
        <v>1352380.9523809536</v>
      </c>
      <c r="Z66" s="80">
        <f>+Y$32</f>
        <v>57142.857142857145</v>
      </c>
      <c r="AA66" s="80">
        <f t="shared" si="49"/>
        <v>1295238.0952380965</v>
      </c>
      <c r="AB66" s="53">
        <f>+Y$29*AA66+Z66</f>
        <v>199142.22399169556</v>
      </c>
      <c r="AC66" s="87">
        <f>+AE65</f>
        <v>1371428.5714285725</v>
      </c>
      <c r="AD66" s="80">
        <f>+AC$32</f>
        <v>57142.857142857145</v>
      </c>
      <c r="AE66" s="80">
        <f t="shared" si="50"/>
        <v>1314285.7142857155</v>
      </c>
      <c r="AF66" s="53">
        <f>+AC$29*AE66+AD66</f>
        <v>201230.4499747667</v>
      </c>
      <c r="AG66" s="87">
        <f t="shared" si="51"/>
        <v>11112767.4</v>
      </c>
      <c r="AH66" s="80">
        <f>+AG$32</f>
        <v>453582.34285714285</v>
      </c>
      <c r="AI66" s="80">
        <f t="shared" si="52"/>
        <v>10659185.057142857</v>
      </c>
      <c r="AJ66" s="53">
        <f>+AG$29*AI66+AH66</f>
        <v>1622168.6705783401</v>
      </c>
      <c r="AK66" s="87">
        <f t="shared" si="53"/>
        <v>20681049.899999991</v>
      </c>
      <c r="AL66" s="80">
        <f>+AK$32</f>
        <v>844124.48571428575</v>
      </c>
      <c r="AM66" s="80">
        <f t="shared" si="54"/>
        <v>19836925.414285704</v>
      </c>
      <c r="AN66" s="53">
        <f>+AK$29*AM66+AL66</f>
        <v>3018883.5971179688</v>
      </c>
      <c r="AO66" s="87">
        <f t="shared" si="55"/>
        <v>41006818.999999978</v>
      </c>
      <c r="AP66" s="80">
        <f>+AO$32</f>
        <v>1673747.7142857143</v>
      </c>
      <c r="AQ66" s="80">
        <f t="shared" si="56"/>
        <v>39333071.285714261</v>
      </c>
      <c r="AR66" s="53">
        <f>+AO$29*AQ66+AP66</f>
        <v>5985905.6405586777</v>
      </c>
      <c r="AS66" s="87">
        <f t="shared" si="57"/>
        <v>3658867.799999998</v>
      </c>
      <c r="AT66" s="80">
        <f>+AS$32</f>
        <v>149341.54285714286</v>
      </c>
      <c r="AU66" s="80">
        <f t="shared" si="58"/>
        <v>3509526.2571428549</v>
      </c>
      <c r="AV66" s="53">
        <f>+AS$29*AU66+AT66</f>
        <v>534097.44857504102</v>
      </c>
      <c r="AW66" s="87">
        <f t="shared" ref="AW66" si="80">+AY65</f>
        <v>13862883.628571425</v>
      </c>
      <c r="AX66" s="80">
        <f>+AW$32</f>
        <v>543480.11428571434</v>
      </c>
      <c r="AY66" s="80">
        <f t="shared" si="60"/>
        <v>13319403.51428571</v>
      </c>
      <c r="AZ66" s="53">
        <f>+AW$29*AY66+AX66</f>
        <v>2003711.1504065972</v>
      </c>
      <c r="BA66" s="87">
        <f t="shared" ref="BA66" si="81">+BC65</f>
        <v>39719187.641809501</v>
      </c>
      <c r="BB66" s="80">
        <f>+BA$32</f>
        <v>1481495.7768571428</v>
      </c>
      <c r="BC66" s="80">
        <f t="shared" si="62"/>
        <v>38237691.864952356</v>
      </c>
      <c r="BD66" s="53">
        <f>+BA$29*BC66+BB66</f>
        <v>5673565.2153228931</v>
      </c>
      <c r="BE66" s="87">
        <f t="shared" ref="BE66" si="82">+BG65</f>
        <v>6704215.2361904746</v>
      </c>
      <c r="BF66" s="80">
        <f>+BE$32</f>
        <v>246385.85714285713</v>
      </c>
      <c r="BG66" s="80">
        <f t="shared" si="64"/>
        <v>6457829.3790476173</v>
      </c>
      <c r="BH66" s="53">
        <f>+BE$29*BG66+BF66</f>
        <v>954369.73008014949</v>
      </c>
      <c r="BI66" s="87">
        <f t="shared" si="17"/>
        <v>6042857.1428571418</v>
      </c>
      <c r="BJ66" s="80">
        <f>+BI$32</f>
        <v>257142.85714285713</v>
      </c>
      <c r="BK66" s="80">
        <f t="shared" ref="BK66:BK75" si="83">+BI66-BJ66</f>
        <v>5785714.2857142845</v>
      </c>
      <c r="BL66" s="53">
        <f>+BI$29*BK66+BJ66</f>
        <v>891441.49950071925</v>
      </c>
      <c r="BM66" s="87">
        <f t="shared" ref="BM66" si="84">+BO65</f>
        <v>29528571.428571425</v>
      </c>
      <c r="BN66" s="80">
        <f t="shared" si="28"/>
        <v>1114285.7142857143</v>
      </c>
      <c r="BO66" s="80">
        <f t="shared" si="23"/>
        <v>28414285.714285713</v>
      </c>
      <c r="BP66" s="53">
        <f t="shared" si="25"/>
        <v>4229396.8245321047</v>
      </c>
      <c r="BQ66" s="87">
        <f t="shared" ref="BQ66" si="85">+BS65</f>
        <v>7228571.4285714282</v>
      </c>
      <c r="BR66" s="80">
        <f t="shared" si="35"/>
        <v>262857.14285714284</v>
      </c>
      <c r="BS66" s="80">
        <f t="shared" si="29"/>
        <v>6965714.2857142854</v>
      </c>
      <c r="BT66" s="53">
        <f t="shared" si="31"/>
        <v>1026521.3848662629</v>
      </c>
      <c r="BU66" s="81">
        <f t="shared" si="10"/>
        <v>35502473.576135233</v>
      </c>
      <c r="BV66" s="36"/>
      <c r="BW66" s="82">
        <f t="shared" ref="BW66" si="86">+BU66</f>
        <v>35502473.576135233</v>
      </c>
    </row>
    <row r="67" spans="1:75">
      <c r="A67">
        <v>52</v>
      </c>
      <c r="C67" s="37" t="str">
        <f t="shared" si="11"/>
        <v>W Increased ROE</v>
      </c>
      <c r="D67" s="79">
        <f t="shared" si="12"/>
        <v>2023</v>
      </c>
      <c r="E67" s="80">
        <f>+E66</f>
        <v>20654383.880952366</v>
      </c>
      <c r="F67" s="80">
        <f>+F66</f>
        <v>958810.85714285716</v>
      </c>
      <c r="G67" s="80">
        <f t="shared" si="46"/>
        <v>19695573.023809507</v>
      </c>
      <c r="H67" s="43">
        <f>+E$30*G67+F67</f>
        <v>3282959.5153328809</v>
      </c>
      <c r="I67" s="87">
        <f>+I66</f>
        <v>24816190.476190481</v>
      </c>
      <c r="J67" s="80">
        <f>+J66</f>
        <v>1048571.4285714285</v>
      </c>
      <c r="K67" s="80">
        <f t="shared" si="0"/>
        <v>23767619.047619052</v>
      </c>
      <c r="L67" s="53">
        <f>+I$30*K67+J67</f>
        <v>3853236.205326986</v>
      </c>
      <c r="M67" s="87">
        <f>+M66</f>
        <v>13523809.52380953</v>
      </c>
      <c r="N67" s="80">
        <f>+N66</f>
        <v>571428.57142857148</v>
      </c>
      <c r="O67" s="80">
        <f t="shared" si="1"/>
        <v>12952380.952380959</v>
      </c>
      <c r="P67" s="53">
        <f>+M$30*O67+N67</f>
        <v>2099856.2426850065</v>
      </c>
      <c r="Q67" s="87">
        <f>+Q66</f>
        <v>1352380.9523809536</v>
      </c>
      <c r="R67" s="80">
        <f>+R66</f>
        <v>57142.857142857145</v>
      </c>
      <c r="S67" s="80">
        <f t="shared" si="47"/>
        <v>1295238.0952380965</v>
      </c>
      <c r="T67" s="53">
        <f>+Q$30*S67+R67</f>
        <v>199142.22399169556</v>
      </c>
      <c r="U67" s="87">
        <f>+U66</f>
        <v>1352380.9523809536</v>
      </c>
      <c r="V67" s="80">
        <f>+V66</f>
        <v>57142.857142857145</v>
      </c>
      <c r="W67" s="80">
        <f t="shared" si="48"/>
        <v>1295238.0952380965</v>
      </c>
      <c r="X67" s="53">
        <f>+U$30*W67+V67</f>
        <v>199142.22399169556</v>
      </c>
      <c r="Y67" s="87">
        <f>+Y66</f>
        <v>1352380.9523809536</v>
      </c>
      <c r="Z67" s="80">
        <f>+Z66</f>
        <v>57142.857142857145</v>
      </c>
      <c r="AA67" s="80">
        <f t="shared" si="49"/>
        <v>1295238.0952380965</v>
      </c>
      <c r="AB67" s="53">
        <f>+Y$30*AA67+Z67</f>
        <v>199142.22399169556</v>
      </c>
      <c r="AC67" s="87">
        <f>+AC66</f>
        <v>1371428.5714285725</v>
      </c>
      <c r="AD67" s="80">
        <f>+AD66</f>
        <v>57142.857142857145</v>
      </c>
      <c r="AE67" s="80">
        <f t="shared" si="50"/>
        <v>1314285.7142857155</v>
      </c>
      <c r="AF67" s="53">
        <f>+AC$30*AE67+AD67</f>
        <v>201230.4499747667</v>
      </c>
      <c r="AG67" s="87">
        <f>+AI65</f>
        <v>11112767.4</v>
      </c>
      <c r="AH67" s="80">
        <f>+AH66</f>
        <v>453582.34285714285</v>
      </c>
      <c r="AI67" s="80">
        <f t="shared" si="52"/>
        <v>10659185.057142857</v>
      </c>
      <c r="AJ67" s="53">
        <f>+AG$30*AI67+AH67</f>
        <v>1711404.626982088</v>
      </c>
      <c r="AK67" s="87">
        <f>+AM65</f>
        <v>20681049.899999991</v>
      </c>
      <c r="AL67" s="80">
        <f>+AL66</f>
        <v>844124.48571428575</v>
      </c>
      <c r="AM67" s="80">
        <f t="shared" si="54"/>
        <v>19836925.414285704</v>
      </c>
      <c r="AN67" s="53">
        <f>+AK$30*AM67+AL67</f>
        <v>3184953.2358346158</v>
      </c>
      <c r="AO67" s="87">
        <f>+AQ65</f>
        <v>41006818.999999978</v>
      </c>
      <c r="AP67" s="80">
        <f>+AP66</f>
        <v>1673747.7142857143</v>
      </c>
      <c r="AQ67" s="80">
        <f t="shared" si="56"/>
        <v>39333071.285714261</v>
      </c>
      <c r="AR67" s="53">
        <f>+AO$30*AQ67+AP67</f>
        <v>5985905.6405586777</v>
      </c>
      <c r="AS67" s="87">
        <f>+AU65</f>
        <v>3658867.799999998</v>
      </c>
      <c r="AT67" s="80">
        <f>+AT66</f>
        <v>149341.54285714286</v>
      </c>
      <c r="AU67" s="80">
        <f t="shared" si="58"/>
        <v>3509526.2571428549</v>
      </c>
      <c r="AV67" s="53">
        <f>+AS$30*AU67+AT67</f>
        <v>534097.44857504102</v>
      </c>
      <c r="AW67" s="87">
        <f>+AY65</f>
        <v>13862883.628571425</v>
      </c>
      <c r="AX67" s="80">
        <f>+AX66</f>
        <v>543480.11428571434</v>
      </c>
      <c r="AY67" s="80">
        <f t="shared" si="60"/>
        <v>13319403.51428571</v>
      </c>
      <c r="AZ67" s="53">
        <f>+AW$30*AY67+AX67</f>
        <v>2115217.7716870154</v>
      </c>
      <c r="BA67" s="87">
        <f>+BC65</f>
        <v>39719187.641809501</v>
      </c>
      <c r="BB67" s="80">
        <f>+BB66</f>
        <v>1481495.7768571428</v>
      </c>
      <c r="BC67" s="80">
        <f t="shared" si="62"/>
        <v>38237691.864952356</v>
      </c>
      <c r="BD67" s="53">
        <f>+BA$30*BC67+BB67</f>
        <v>5673565.2153228931</v>
      </c>
      <c r="BE67" s="87">
        <f>+BG65</f>
        <v>6704215.2361904746</v>
      </c>
      <c r="BF67" s="80">
        <f>+BF66</f>
        <v>246385.85714285713</v>
      </c>
      <c r="BG67" s="80">
        <f t="shared" si="64"/>
        <v>6457829.3790476173</v>
      </c>
      <c r="BH67" s="53">
        <f>+BE$30*BG67+BF67</f>
        <v>954369.73008014949</v>
      </c>
      <c r="BI67" s="87">
        <f>+BI66</f>
        <v>6042857.1428571418</v>
      </c>
      <c r="BJ67" s="80">
        <f>+BJ66</f>
        <v>257142.85714285713</v>
      </c>
      <c r="BK67" s="80">
        <f t="shared" si="83"/>
        <v>5785714.2857142845</v>
      </c>
      <c r="BL67" s="53">
        <f>+BI$30*BK67+BJ67</f>
        <v>891441.49950071925</v>
      </c>
      <c r="BM67" s="87">
        <f>+BM66</f>
        <v>29528571.428571425</v>
      </c>
      <c r="BN67" s="80">
        <f t="shared" si="28"/>
        <v>1114285.7142857143</v>
      </c>
      <c r="BO67" s="80">
        <f t="shared" si="23"/>
        <v>28414285.714285713</v>
      </c>
      <c r="BP67" s="53">
        <f t="shared" si="25"/>
        <v>4229396.8245321047</v>
      </c>
      <c r="BQ67" s="87">
        <f>+BQ66</f>
        <v>7228571.4285714282</v>
      </c>
      <c r="BR67" s="80">
        <f t="shared" si="35"/>
        <v>262857.14285714284</v>
      </c>
      <c r="BS67" s="80">
        <f t="shared" si="29"/>
        <v>6965714.2857142854</v>
      </c>
      <c r="BT67" s="53">
        <f t="shared" si="31"/>
        <v>1026521.3848662629</v>
      </c>
      <c r="BU67" s="81">
        <f t="shared" si="10"/>
        <v>36341582.46323429</v>
      </c>
      <c r="BV67" s="84">
        <f t="shared" si="45"/>
        <v>36341582.46323429</v>
      </c>
      <c r="BW67" s="38"/>
    </row>
    <row r="68" spans="1:75">
      <c r="A68">
        <v>53</v>
      </c>
      <c r="C68" s="37" t="str">
        <f t="shared" si="11"/>
        <v>Base FCR</v>
      </c>
      <c r="D68" s="79">
        <f t="shared" si="12"/>
        <v>2024</v>
      </c>
      <c r="E68" s="80">
        <f>+G67</f>
        <v>19695573.023809507</v>
      </c>
      <c r="F68" s="80">
        <f>+E$32</f>
        <v>958810.85714285716</v>
      </c>
      <c r="G68" s="80">
        <f t="shared" si="46"/>
        <v>18736762.166666649</v>
      </c>
      <c r="H68" s="43">
        <f>+E$29*G68+F68</f>
        <v>3012957.0208833925</v>
      </c>
      <c r="I68" s="87">
        <f>+K67</f>
        <v>23767619.047619052</v>
      </c>
      <c r="J68" s="80">
        <f>+I$32</f>
        <v>1048571.4285714285</v>
      </c>
      <c r="K68" s="80">
        <f t="shared" si="0"/>
        <v>22719047.619047623</v>
      </c>
      <c r="L68" s="53">
        <f>+I$29*K68+J68</f>
        <v>3539302.9698795448</v>
      </c>
      <c r="M68" s="87">
        <f>+O67</f>
        <v>12952380.952380959</v>
      </c>
      <c r="N68" s="80">
        <f>+M$32</f>
        <v>571428.57142857148</v>
      </c>
      <c r="O68" s="80">
        <f t="shared" si="1"/>
        <v>12380952.380952388</v>
      </c>
      <c r="P68" s="53">
        <f>+M$29*O68+N68</f>
        <v>1928775.4604248204</v>
      </c>
      <c r="Q68" s="87">
        <f>+S67</f>
        <v>1295238.0952380965</v>
      </c>
      <c r="R68" s="80">
        <f>+Q$32</f>
        <v>57142.857142857145</v>
      </c>
      <c r="S68" s="80">
        <f t="shared" si="47"/>
        <v>1238095.2380952395</v>
      </c>
      <c r="T68" s="53">
        <f>+Q$29*S68+R68</f>
        <v>192877.54604248214</v>
      </c>
      <c r="U68" s="87">
        <f>+W67</f>
        <v>1295238.0952380965</v>
      </c>
      <c r="V68" s="80">
        <f>+U$32</f>
        <v>57142.857142857145</v>
      </c>
      <c r="W68" s="80">
        <f t="shared" si="48"/>
        <v>1238095.2380952395</v>
      </c>
      <c r="X68" s="53">
        <f>+U$29*W68+V68</f>
        <v>192877.54604248214</v>
      </c>
      <c r="Y68" s="87">
        <f>+AA67</f>
        <v>1295238.0952380965</v>
      </c>
      <c r="Z68" s="80">
        <f>+Y$32</f>
        <v>57142.857142857145</v>
      </c>
      <c r="AA68" s="80">
        <f t="shared" si="49"/>
        <v>1238095.2380952395</v>
      </c>
      <c r="AB68" s="53">
        <f>+Y$29*AA68+Z68</f>
        <v>192877.54604248214</v>
      </c>
      <c r="AC68" s="87">
        <f>+AE67</f>
        <v>1314285.7142857155</v>
      </c>
      <c r="AD68" s="80">
        <f>+AC$32</f>
        <v>57142.857142857145</v>
      </c>
      <c r="AE68" s="80">
        <f t="shared" si="50"/>
        <v>1257142.8571428584</v>
      </c>
      <c r="AF68" s="53">
        <f>+AC$29*AE68+AD68</f>
        <v>194965.77202555328</v>
      </c>
      <c r="AG68" s="87">
        <f t="shared" si="51"/>
        <v>10659185.057142857</v>
      </c>
      <c r="AH68" s="80">
        <f>+AG$32</f>
        <v>453582.34285714285</v>
      </c>
      <c r="AI68" s="80">
        <f t="shared" si="52"/>
        <v>10205602.714285715</v>
      </c>
      <c r="AJ68" s="53">
        <f>+AG$29*AI68+AH68</f>
        <v>1572441.59280297</v>
      </c>
      <c r="AK68" s="87">
        <f t="shared" si="53"/>
        <v>19836925.414285704</v>
      </c>
      <c r="AL68" s="80">
        <f>+AK$32</f>
        <v>844124.48571428575</v>
      </c>
      <c r="AM68" s="80">
        <f t="shared" si="54"/>
        <v>18992800.928571418</v>
      </c>
      <c r="AN68" s="53">
        <f>+AK$29*AM68+AL68</f>
        <v>2926340.6562071741</v>
      </c>
      <c r="AO68" s="87">
        <f t="shared" si="55"/>
        <v>39333071.285714261</v>
      </c>
      <c r="AP68" s="80">
        <f>+AO$32</f>
        <v>1673747.7142857143</v>
      </c>
      <c r="AQ68" s="80">
        <f t="shared" si="56"/>
        <v>37659323.571428545</v>
      </c>
      <c r="AR68" s="53">
        <f>+AO$29*AQ68+AP68</f>
        <v>5802409.5585896149</v>
      </c>
      <c r="AS68" s="87">
        <f t="shared" si="57"/>
        <v>3509526.2571428549</v>
      </c>
      <c r="AT68" s="80">
        <f>+AS$32</f>
        <v>149341.54285714286</v>
      </c>
      <c r="AU68" s="80">
        <f t="shared" si="58"/>
        <v>3360184.7142857118</v>
      </c>
      <c r="AV68" s="53">
        <f>+AS$29*AU68+AT68</f>
        <v>517724.85684236453</v>
      </c>
      <c r="AW68" s="87">
        <f t="shared" ref="AW68" si="87">+AY67</f>
        <v>13319403.51428571</v>
      </c>
      <c r="AX68" s="80">
        <f>+AW$32</f>
        <v>543480.11428571434</v>
      </c>
      <c r="AY68" s="80">
        <f t="shared" si="60"/>
        <v>12775923.399999995</v>
      </c>
      <c r="AZ68" s="53">
        <f>+AW$29*AY68+AX68</f>
        <v>1944128.4123700671</v>
      </c>
      <c r="BA68" s="87">
        <f t="shared" ref="BA68" si="88">+BC67</f>
        <v>38237691.864952356</v>
      </c>
      <c r="BB68" s="80">
        <f>+BA$32</f>
        <v>1481495.7768571428</v>
      </c>
      <c r="BC68" s="80">
        <f t="shared" si="62"/>
        <v>36756196.08809521</v>
      </c>
      <c r="BD68" s="53">
        <f>+BA$29*BC68+BB68</f>
        <v>5511146.071633121</v>
      </c>
      <c r="BE68" s="87">
        <f t="shared" ref="BE68" si="89">+BG67</f>
        <v>6457829.3790476173</v>
      </c>
      <c r="BF68" s="80">
        <f>+BE$32</f>
        <v>246385.85714285713</v>
      </c>
      <c r="BG68" s="80">
        <f t="shared" si="64"/>
        <v>6211443.52190476</v>
      </c>
      <c r="BH68" s="53">
        <f>+BE$29*BG68+BF68</f>
        <v>927357.98927093355</v>
      </c>
      <c r="BI68" s="87">
        <f t="shared" si="17"/>
        <v>5785714.2857142845</v>
      </c>
      <c r="BJ68" s="80">
        <f>+BI$32</f>
        <v>257142.85714285713</v>
      </c>
      <c r="BK68" s="80">
        <f t="shared" si="83"/>
        <v>5528571.4285714272</v>
      </c>
      <c r="BL68" s="53">
        <f>+BI$29*BK68+BJ68</f>
        <v>863250.44872925873</v>
      </c>
      <c r="BM68" s="87">
        <f t="shared" ref="BM68" si="90">+BO67</f>
        <v>28414285.714285713</v>
      </c>
      <c r="BN68" s="80">
        <f t="shared" si="28"/>
        <v>1114285.7142857143</v>
      </c>
      <c r="BO68" s="80">
        <f t="shared" si="23"/>
        <v>27300000</v>
      </c>
      <c r="BP68" s="53">
        <f t="shared" si="25"/>
        <v>4107235.6045224424</v>
      </c>
      <c r="BQ68" s="87">
        <f t="shared" ref="BQ68" si="91">+BS67</f>
        <v>6965714.2857142854</v>
      </c>
      <c r="BR68" s="80">
        <f t="shared" si="35"/>
        <v>262857.14285714284</v>
      </c>
      <c r="BS68" s="80">
        <f t="shared" si="29"/>
        <v>6702857.1428571427</v>
      </c>
      <c r="BT68" s="53">
        <f t="shared" si="31"/>
        <v>997703.86629988102</v>
      </c>
      <c r="BU68" s="81">
        <f t="shared" si="10"/>
        <v>34424372.918608584</v>
      </c>
      <c r="BV68" s="36"/>
      <c r="BW68" s="82">
        <f t="shared" ref="BW68" si="92">+BU68</f>
        <v>34424372.918608584</v>
      </c>
    </row>
    <row r="69" spans="1:75">
      <c r="A69">
        <v>54</v>
      </c>
      <c r="C69" s="37" t="str">
        <f t="shared" si="11"/>
        <v>W Increased ROE</v>
      </c>
      <c r="D69" s="79">
        <f t="shared" si="12"/>
        <v>2024</v>
      </c>
      <c r="E69" s="80">
        <f>+E68</f>
        <v>19695573.023809507</v>
      </c>
      <c r="F69" s="80">
        <f>+F68</f>
        <v>958810.85714285716</v>
      </c>
      <c r="G69" s="80">
        <f t="shared" si="46"/>
        <v>18736762.166666649</v>
      </c>
      <c r="H69" s="43">
        <f>+E$30*G69+F69</f>
        <v>3169816.3757861047</v>
      </c>
      <c r="I69" s="87">
        <f>+I68</f>
        <v>23767619.047619052</v>
      </c>
      <c r="J69" s="80">
        <f>+J68</f>
        <v>1048571.4285714285</v>
      </c>
      <c r="K69" s="80">
        <f t="shared" si="0"/>
        <v>22719047.619047623</v>
      </c>
      <c r="L69" s="53">
        <f>+I$30*K69+J69</f>
        <v>3729500.9945877702</v>
      </c>
      <c r="M69" s="87">
        <f>+M68</f>
        <v>12952380.952380959</v>
      </c>
      <c r="N69" s="80">
        <f>+N68</f>
        <v>571428.57142857148</v>
      </c>
      <c r="O69" s="80">
        <f t="shared" si="1"/>
        <v>12380952.380952388</v>
      </c>
      <c r="P69" s="53">
        <f>+M$30*O69+N69</f>
        <v>2032425.6101295757</v>
      </c>
      <c r="Q69" s="87">
        <f>+Q68</f>
        <v>1295238.0952380965</v>
      </c>
      <c r="R69" s="80">
        <f>+R68</f>
        <v>57142.857142857145</v>
      </c>
      <c r="S69" s="80">
        <f t="shared" si="47"/>
        <v>1238095.2380952395</v>
      </c>
      <c r="T69" s="53">
        <f>+Q$30*S69+R69</f>
        <v>192877.54604248214</v>
      </c>
      <c r="U69" s="87">
        <f>+U68</f>
        <v>1295238.0952380965</v>
      </c>
      <c r="V69" s="80">
        <f>+V68</f>
        <v>57142.857142857145</v>
      </c>
      <c r="W69" s="80">
        <f t="shared" si="48"/>
        <v>1238095.2380952395</v>
      </c>
      <c r="X69" s="53">
        <f>+U$30*W69+V69</f>
        <v>192877.54604248214</v>
      </c>
      <c r="Y69" s="87">
        <f>+Y68</f>
        <v>1295238.0952380965</v>
      </c>
      <c r="Z69" s="80">
        <f>+Z68</f>
        <v>57142.857142857145</v>
      </c>
      <c r="AA69" s="80">
        <f t="shared" si="49"/>
        <v>1238095.2380952395</v>
      </c>
      <c r="AB69" s="53">
        <f>+Y$30*AA69+Z69</f>
        <v>192877.54604248214</v>
      </c>
      <c r="AC69" s="87">
        <f>+AC68</f>
        <v>1314285.7142857155</v>
      </c>
      <c r="AD69" s="80">
        <f>+AD68</f>
        <v>57142.857142857145</v>
      </c>
      <c r="AE69" s="80">
        <f t="shared" si="50"/>
        <v>1257142.8571428584</v>
      </c>
      <c r="AF69" s="53">
        <f>+AC$30*AE69+AD69</f>
        <v>194965.77202555328</v>
      </c>
      <c r="AG69" s="87">
        <f>+AI67</f>
        <v>10659185.057142857</v>
      </c>
      <c r="AH69" s="80">
        <f>+AH68</f>
        <v>453582.34285714285</v>
      </c>
      <c r="AI69" s="80">
        <f t="shared" si="52"/>
        <v>10205602.714285715</v>
      </c>
      <c r="AJ69" s="53">
        <f>+AG$30*AI69+AH69</f>
        <v>1657880.2744661327</v>
      </c>
      <c r="AK69" s="87">
        <f>+AM67</f>
        <v>19836925.414285704</v>
      </c>
      <c r="AL69" s="80">
        <f>+AL68</f>
        <v>844124.48571428575</v>
      </c>
      <c r="AM69" s="80">
        <f t="shared" si="54"/>
        <v>18992800.928571418</v>
      </c>
      <c r="AN69" s="53">
        <f>+AK$30*AM69+AL69</f>
        <v>3085343.5017869421</v>
      </c>
      <c r="AO69" s="87">
        <f>+AQ67</f>
        <v>39333071.285714261</v>
      </c>
      <c r="AP69" s="80">
        <f>+AP68</f>
        <v>1673747.7142857143</v>
      </c>
      <c r="AQ69" s="80">
        <f t="shared" si="56"/>
        <v>37659323.571428545</v>
      </c>
      <c r="AR69" s="53">
        <f>+AO$30*AQ69+AP69</f>
        <v>5802409.5585896149</v>
      </c>
      <c r="AS69" s="87">
        <f>+AU67</f>
        <v>3509526.2571428549</v>
      </c>
      <c r="AT69" s="80">
        <f>+AT68</f>
        <v>149341.54285714286</v>
      </c>
      <c r="AU69" s="80">
        <f t="shared" si="58"/>
        <v>3360184.7142857118</v>
      </c>
      <c r="AV69" s="53">
        <f>+AS$30*AU69+AT69</f>
        <v>517724.85684236453</v>
      </c>
      <c r="AW69" s="87">
        <f>+AY67</f>
        <v>13319403.51428571</v>
      </c>
      <c r="AX69" s="80">
        <f>+AX68</f>
        <v>543480.11428571434</v>
      </c>
      <c r="AY69" s="80">
        <f t="shared" si="60"/>
        <v>12775923.399999995</v>
      </c>
      <c r="AZ69" s="53">
        <f>+AW$30*AY69+AX69</f>
        <v>2051085.1578837442</v>
      </c>
      <c r="BA69" s="87">
        <f>+BC67</f>
        <v>38237691.864952356</v>
      </c>
      <c r="BB69" s="80">
        <f>+BB68</f>
        <v>1481495.7768571428</v>
      </c>
      <c r="BC69" s="80">
        <f t="shared" si="62"/>
        <v>36756196.08809521</v>
      </c>
      <c r="BD69" s="53">
        <f>+BA$30*BC69+BB69</f>
        <v>5511146.071633121</v>
      </c>
      <c r="BE69" s="87">
        <f>+BG67</f>
        <v>6457829.3790476173</v>
      </c>
      <c r="BF69" s="80">
        <f>+BF68</f>
        <v>246385.85714285713</v>
      </c>
      <c r="BG69" s="80">
        <f t="shared" si="64"/>
        <v>6211443.52190476</v>
      </c>
      <c r="BH69" s="53">
        <f>+BE$30*BG69+BF69</f>
        <v>927357.98927093355</v>
      </c>
      <c r="BI69" s="87">
        <f>+BI68</f>
        <v>5785714.2857142845</v>
      </c>
      <c r="BJ69" s="80">
        <f>+BJ68</f>
        <v>257142.85714285713</v>
      </c>
      <c r="BK69" s="80">
        <f t="shared" si="83"/>
        <v>5528571.4285714272</v>
      </c>
      <c r="BL69" s="53">
        <f>+BI$30*BK69+BJ69</f>
        <v>863250.44872925873</v>
      </c>
      <c r="BM69" s="87">
        <f>+BM68</f>
        <v>28414285.714285713</v>
      </c>
      <c r="BN69" s="80">
        <f t="shared" si="28"/>
        <v>1114285.7142857143</v>
      </c>
      <c r="BO69" s="80">
        <f t="shared" si="23"/>
        <v>27300000</v>
      </c>
      <c r="BP69" s="53">
        <f t="shared" si="25"/>
        <v>4107235.6045224424</v>
      </c>
      <c r="BQ69" s="87">
        <f>+BQ68</f>
        <v>6965714.2857142854</v>
      </c>
      <c r="BR69" s="80">
        <f t="shared" si="35"/>
        <v>262857.14285714284</v>
      </c>
      <c r="BS69" s="80">
        <f t="shared" si="29"/>
        <v>6702857.1428571427</v>
      </c>
      <c r="BT69" s="53">
        <f t="shared" si="31"/>
        <v>997703.86629988102</v>
      </c>
      <c r="BU69" s="81">
        <f t="shared" si="10"/>
        <v>35226478.720680885</v>
      </c>
      <c r="BV69" s="84">
        <f>+BU69</f>
        <v>35226478.720680885</v>
      </c>
      <c r="BW69" s="38"/>
    </row>
    <row r="70" spans="1:75">
      <c r="A70">
        <v>55</v>
      </c>
      <c r="C70" s="37" t="str">
        <f t="shared" si="11"/>
        <v>Base FCR</v>
      </c>
      <c r="D70" s="79">
        <f t="shared" si="12"/>
        <v>2025</v>
      </c>
      <c r="E70" s="80">
        <f>+G69</f>
        <v>18736762.166666649</v>
      </c>
      <c r="F70" s="80">
        <f>+E$32</f>
        <v>958810.85714285716</v>
      </c>
      <c r="G70" s="80">
        <f t="shared" si="46"/>
        <v>17777951.309523791</v>
      </c>
      <c r="H70" s="43">
        <f>+E$29*G70+F70</f>
        <v>2907840.7992847296</v>
      </c>
      <c r="I70" s="87">
        <f>+K69</f>
        <v>22719047.619047623</v>
      </c>
      <c r="J70" s="80">
        <f>+I$32</f>
        <v>1048571.4285714285</v>
      </c>
      <c r="K70" s="80">
        <f t="shared" si="0"/>
        <v>21670476.190476194</v>
      </c>
      <c r="L70" s="53">
        <f>+I$29*K70+J70</f>
        <v>3424346.1295114779</v>
      </c>
      <c r="M70" s="87">
        <f>+O69</f>
        <v>12380952.380952388</v>
      </c>
      <c r="N70" s="80">
        <f>+M$32</f>
        <v>571428.57142857148</v>
      </c>
      <c r="O70" s="80">
        <f t="shared" si="1"/>
        <v>11809523.809523817</v>
      </c>
      <c r="P70" s="53">
        <f>+M$29*O70+N70</f>
        <v>1866128.6809326862</v>
      </c>
      <c r="Q70" s="87">
        <f>+S69</f>
        <v>1238095.2380952395</v>
      </c>
      <c r="R70" s="80">
        <f>+Q$32</f>
        <v>57142.857142857145</v>
      </c>
      <c r="S70" s="80">
        <f t="shared" si="47"/>
        <v>1180952.3809523825</v>
      </c>
      <c r="T70" s="53">
        <f>+Q$29*S70+R70</f>
        <v>186612.86809326871</v>
      </c>
      <c r="U70" s="87">
        <f>+W69</f>
        <v>1238095.2380952395</v>
      </c>
      <c r="V70" s="80">
        <f>+U$32</f>
        <v>57142.857142857145</v>
      </c>
      <c r="W70" s="80">
        <f t="shared" si="48"/>
        <v>1180952.3809523825</v>
      </c>
      <c r="X70" s="53">
        <f>+U$29*W70+V70</f>
        <v>186612.86809326871</v>
      </c>
      <c r="Y70" s="87">
        <f>+AA69</f>
        <v>1238095.2380952395</v>
      </c>
      <c r="Z70" s="80">
        <f>+Y$32</f>
        <v>57142.857142857145</v>
      </c>
      <c r="AA70" s="80">
        <f t="shared" si="49"/>
        <v>1180952.3809523825</v>
      </c>
      <c r="AB70" s="53">
        <f>+Y$29*AA70+Z70</f>
        <v>186612.86809326871</v>
      </c>
      <c r="AC70" s="87">
        <f>+AE69</f>
        <v>1257142.8571428584</v>
      </c>
      <c r="AD70" s="80">
        <f>+AC$32</f>
        <v>57142.857142857145</v>
      </c>
      <c r="AE70" s="80">
        <f t="shared" si="50"/>
        <v>1200000.0000000014</v>
      </c>
      <c r="AF70" s="53">
        <f>+AC$29*AE70+AD70</f>
        <v>188701.09407633985</v>
      </c>
      <c r="AG70" s="87">
        <f t="shared" si="51"/>
        <v>10205602.714285715</v>
      </c>
      <c r="AH70" s="80">
        <f>+AG$32</f>
        <v>453582.34285714285</v>
      </c>
      <c r="AI70" s="80">
        <f t="shared" si="52"/>
        <v>9752020.3714285716</v>
      </c>
      <c r="AJ70" s="53">
        <f>+AG$29*AI70+AH70</f>
        <v>1522714.5150275999</v>
      </c>
      <c r="AK70" s="87">
        <f t="shared" si="53"/>
        <v>18992800.928571418</v>
      </c>
      <c r="AL70" s="80">
        <f>+AK$32</f>
        <v>844124.48571428575</v>
      </c>
      <c r="AM70" s="80">
        <f t="shared" si="54"/>
        <v>18148676.442857131</v>
      </c>
      <c r="AN70" s="53">
        <f>+AK$29*AM70+AL70</f>
        <v>2833797.7152963788</v>
      </c>
      <c r="AO70" s="87">
        <f t="shared" si="55"/>
        <v>37659323.571428545</v>
      </c>
      <c r="AP70" s="80">
        <f>+AO$32</f>
        <v>1673747.7142857143</v>
      </c>
      <c r="AQ70" s="80">
        <f t="shared" si="56"/>
        <v>35985575.857142828</v>
      </c>
      <c r="AR70" s="53">
        <f>+AO$29*AQ70+AP70</f>
        <v>5618913.4766205521</v>
      </c>
      <c r="AS70" s="87">
        <f t="shared" si="57"/>
        <v>3360184.7142857118</v>
      </c>
      <c r="AT70" s="80">
        <f>+AS$32</f>
        <v>149341.54285714286</v>
      </c>
      <c r="AU70" s="80">
        <f t="shared" si="58"/>
        <v>3210843.1714285687</v>
      </c>
      <c r="AV70" s="53">
        <f>+AS$29*AU70+AT70</f>
        <v>501352.26510968799</v>
      </c>
      <c r="AW70" s="87">
        <f t="shared" ref="AW70" si="93">+AY69</f>
        <v>12775923.399999995</v>
      </c>
      <c r="AX70" s="80">
        <f>+AW$32</f>
        <v>543480.11428571434</v>
      </c>
      <c r="AY70" s="80">
        <f t="shared" si="60"/>
        <v>12232443.28571428</v>
      </c>
      <c r="AZ70" s="53">
        <f>+AW$29*AY70+AX70</f>
        <v>1884545.6743335365</v>
      </c>
      <c r="BA70" s="87">
        <f t="shared" ref="BA70" si="94">+BC69</f>
        <v>36756196.08809521</v>
      </c>
      <c r="BB70" s="80">
        <f>+BA$32</f>
        <v>1481495.7768571428</v>
      </c>
      <c r="BC70" s="80">
        <f t="shared" si="62"/>
        <v>35274700.311238065</v>
      </c>
      <c r="BD70" s="53">
        <f>+BA$29*BC70+BB70</f>
        <v>5348726.9279433489</v>
      </c>
      <c r="BE70" s="87">
        <f t="shared" ref="BE70" si="95">+BG69</f>
        <v>6211443.52190476</v>
      </c>
      <c r="BF70" s="80">
        <f>+BE$32</f>
        <v>246385.85714285713</v>
      </c>
      <c r="BG70" s="80">
        <f t="shared" si="64"/>
        <v>5965057.6647619028</v>
      </c>
      <c r="BH70" s="53">
        <f>+BE$29*BG70+BF70</f>
        <v>900346.24846171751</v>
      </c>
      <c r="BI70" s="87">
        <f t="shared" si="17"/>
        <v>5528571.4285714272</v>
      </c>
      <c r="BJ70" s="80">
        <f>+BI$32</f>
        <v>257142.85714285713</v>
      </c>
      <c r="BK70" s="80">
        <f t="shared" si="83"/>
        <v>5271428.57142857</v>
      </c>
      <c r="BL70" s="53">
        <f>+BI$29*BK70+BJ70</f>
        <v>835059.39795779809</v>
      </c>
      <c r="BM70" s="87">
        <f t="shared" ref="BM70" si="96">+BO69</f>
        <v>27300000</v>
      </c>
      <c r="BN70" s="80">
        <f t="shared" ref="BN70:BN75" si="97">+BM$32</f>
        <v>1114285.7142857143</v>
      </c>
      <c r="BO70" s="80">
        <f t="shared" ref="BO70:BO75" si="98">+BM70-BN70</f>
        <v>26185714.285714287</v>
      </c>
      <c r="BP70" s="53">
        <f t="shared" ref="BP70:BP75" si="99">+BM$29*BO70+BN70</f>
        <v>3985074.3845127802</v>
      </c>
      <c r="BQ70" s="87">
        <f t="shared" ref="BQ70" si="100">+BS69</f>
        <v>6702857.1428571427</v>
      </c>
      <c r="BR70" s="80">
        <f t="shared" ref="BR70:BR75" si="101">+BQ$32</f>
        <v>262857.14285714284</v>
      </c>
      <c r="BS70" s="80">
        <f t="shared" ref="BS70:BS75" si="102">+BQ70-BR70</f>
        <v>6440000</v>
      </c>
      <c r="BT70" s="53">
        <f t="shared" ref="BT70:BT75" si="103">+BQ$29*BS70+BR70</f>
        <v>968886.34773349913</v>
      </c>
      <c r="BU70" s="81">
        <f t="shared" si="10"/>
        <v>33346272.261081934</v>
      </c>
      <c r="BV70" s="36"/>
      <c r="BW70" s="82">
        <f>+BU70</f>
        <v>33346272.261081934</v>
      </c>
    </row>
    <row r="71" spans="1:75">
      <c r="A71">
        <v>56</v>
      </c>
      <c r="C71" s="37" t="str">
        <f t="shared" si="11"/>
        <v>W Increased ROE</v>
      </c>
      <c r="D71" s="79">
        <f t="shared" si="12"/>
        <v>2025</v>
      </c>
      <c r="E71" s="80">
        <f>+E70</f>
        <v>18736762.166666649</v>
      </c>
      <c r="F71" s="80">
        <f>+F70</f>
        <v>958810.85714285716</v>
      </c>
      <c r="G71" s="80">
        <f t="shared" si="46"/>
        <v>17777951.309523791</v>
      </c>
      <c r="H71" s="43">
        <f>+E$30*G71+F71</f>
        <v>3056673.2362393285</v>
      </c>
      <c r="I71" s="87">
        <f>+I70</f>
        <v>22719047.619047623</v>
      </c>
      <c r="J71" s="80">
        <f>+J70</f>
        <v>1048571.4285714285</v>
      </c>
      <c r="K71" s="80">
        <f t="shared" si="0"/>
        <v>21670476.190476194</v>
      </c>
      <c r="L71" s="53">
        <f>+I$30*K71+J71</f>
        <v>3605765.7838485544</v>
      </c>
      <c r="M71" s="87">
        <f>+M70</f>
        <v>12380952.380952388</v>
      </c>
      <c r="N71" s="80">
        <f>+N70</f>
        <v>571428.57142857148</v>
      </c>
      <c r="O71" s="80">
        <f t="shared" si="1"/>
        <v>11809523.809523817</v>
      </c>
      <c r="P71" s="53">
        <f>+M$30*O71+N71</f>
        <v>1964994.977574145</v>
      </c>
      <c r="Q71" s="87">
        <f>+Q70</f>
        <v>1238095.2380952395</v>
      </c>
      <c r="R71" s="80">
        <f>+R70</f>
        <v>57142.857142857145</v>
      </c>
      <c r="S71" s="80">
        <f t="shared" si="47"/>
        <v>1180952.3809523825</v>
      </c>
      <c r="T71" s="53">
        <f>+Q$30*S71+R71</f>
        <v>186612.86809326871</v>
      </c>
      <c r="U71" s="87">
        <f>+U70</f>
        <v>1238095.2380952395</v>
      </c>
      <c r="V71" s="80">
        <f>+V70</f>
        <v>57142.857142857145</v>
      </c>
      <c r="W71" s="80">
        <f t="shared" si="48"/>
        <v>1180952.3809523825</v>
      </c>
      <c r="X71" s="53">
        <f>+U$30*W71+V71</f>
        <v>186612.86809326871</v>
      </c>
      <c r="Y71" s="87">
        <f>+Y70</f>
        <v>1238095.2380952395</v>
      </c>
      <c r="Z71" s="80">
        <f>+Z70</f>
        <v>57142.857142857145</v>
      </c>
      <c r="AA71" s="80">
        <f t="shared" si="49"/>
        <v>1180952.3809523825</v>
      </c>
      <c r="AB71" s="53">
        <f>+Y$30*AA71+Z71</f>
        <v>186612.86809326871</v>
      </c>
      <c r="AC71" s="87">
        <f>+AC70</f>
        <v>1257142.8571428584</v>
      </c>
      <c r="AD71" s="80">
        <f>+AD70</f>
        <v>57142.857142857145</v>
      </c>
      <c r="AE71" s="80">
        <f t="shared" si="50"/>
        <v>1200000.0000000014</v>
      </c>
      <c r="AF71" s="53">
        <f>+AC$30*AE71+AD71</f>
        <v>188701.09407633985</v>
      </c>
      <c r="AG71" s="87">
        <f>+AI69</f>
        <v>10205602.714285715</v>
      </c>
      <c r="AH71" s="80">
        <f>+AH70</f>
        <v>453582.34285714285</v>
      </c>
      <c r="AI71" s="80">
        <f t="shared" si="52"/>
        <v>9752020.3714285716</v>
      </c>
      <c r="AJ71" s="53">
        <f>+AG$30*AI71+AH71</f>
        <v>1604355.9219501778</v>
      </c>
      <c r="AK71" s="87">
        <f>+AM69</f>
        <v>18992800.928571418</v>
      </c>
      <c r="AL71" s="80">
        <f>+AL70</f>
        <v>844124.48571428575</v>
      </c>
      <c r="AM71" s="80">
        <f t="shared" si="54"/>
        <v>18148676.442857131</v>
      </c>
      <c r="AN71" s="53">
        <f>+AK$30*AM71+AL71</f>
        <v>2985733.767739268</v>
      </c>
      <c r="AO71" s="87">
        <f>+AQ69</f>
        <v>37659323.571428545</v>
      </c>
      <c r="AP71" s="80">
        <f>+AP70</f>
        <v>1673747.7142857143</v>
      </c>
      <c r="AQ71" s="80">
        <f t="shared" si="56"/>
        <v>35985575.857142828</v>
      </c>
      <c r="AR71" s="53">
        <f>+AO$30*AQ71+AP71</f>
        <v>5618913.4766205521</v>
      </c>
      <c r="AS71" s="87">
        <f>+AU69</f>
        <v>3360184.7142857118</v>
      </c>
      <c r="AT71" s="80">
        <f>+AT70</f>
        <v>149341.54285714286</v>
      </c>
      <c r="AU71" s="80">
        <f t="shared" si="58"/>
        <v>3210843.1714285687</v>
      </c>
      <c r="AV71" s="53">
        <f>+AS$30*AU71+AT71</f>
        <v>501352.26510968799</v>
      </c>
      <c r="AW71" s="87">
        <f>+AY69</f>
        <v>12775923.399999995</v>
      </c>
      <c r="AX71" s="80">
        <f>+AX70</f>
        <v>543480.11428571434</v>
      </c>
      <c r="AY71" s="80">
        <f t="shared" si="60"/>
        <v>12232443.28571428</v>
      </c>
      <c r="AZ71" s="53">
        <f>+AW$30*AY71+AX71</f>
        <v>1986952.544080473</v>
      </c>
      <c r="BA71" s="87">
        <f>+BC69</f>
        <v>36756196.08809521</v>
      </c>
      <c r="BB71" s="80">
        <f>+BB70</f>
        <v>1481495.7768571428</v>
      </c>
      <c r="BC71" s="80">
        <f t="shared" si="62"/>
        <v>35274700.311238065</v>
      </c>
      <c r="BD71" s="53">
        <f>+BA$30*BC71+BB71</f>
        <v>5348726.9279433489</v>
      </c>
      <c r="BE71" s="87">
        <f>+BG69</f>
        <v>6211443.52190476</v>
      </c>
      <c r="BF71" s="80">
        <f>+BF70</f>
        <v>246385.85714285713</v>
      </c>
      <c r="BG71" s="80">
        <f t="shared" si="64"/>
        <v>5965057.6647619028</v>
      </c>
      <c r="BH71" s="53">
        <f>+BE$30*BG71+BF71</f>
        <v>900346.24846171751</v>
      </c>
      <c r="BI71" s="87">
        <f>+BI70</f>
        <v>5528571.4285714272</v>
      </c>
      <c r="BJ71" s="80">
        <f>+BJ70</f>
        <v>257142.85714285713</v>
      </c>
      <c r="BK71" s="80">
        <f t="shared" si="83"/>
        <v>5271428.57142857</v>
      </c>
      <c r="BL71" s="53">
        <f>+BI$30*BK71+BJ71</f>
        <v>835059.39795779809</v>
      </c>
      <c r="BM71" s="87">
        <f>+BM70</f>
        <v>27300000</v>
      </c>
      <c r="BN71" s="80">
        <f t="shared" si="97"/>
        <v>1114285.7142857143</v>
      </c>
      <c r="BO71" s="80">
        <f t="shared" si="98"/>
        <v>26185714.285714287</v>
      </c>
      <c r="BP71" s="53">
        <f t="shared" si="99"/>
        <v>3985074.3845127802</v>
      </c>
      <c r="BQ71" s="87">
        <f>+BQ70</f>
        <v>6702857.1428571427</v>
      </c>
      <c r="BR71" s="80">
        <f t="shared" si="101"/>
        <v>262857.14285714284</v>
      </c>
      <c r="BS71" s="80">
        <f t="shared" si="102"/>
        <v>6440000</v>
      </c>
      <c r="BT71" s="53">
        <f t="shared" si="103"/>
        <v>968886.34773349913</v>
      </c>
      <c r="BU71" s="81">
        <f t="shared" si="10"/>
        <v>34111374.978127472</v>
      </c>
      <c r="BV71" s="84">
        <f>+BU71</f>
        <v>34111374.978127472</v>
      </c>
      <c r="BW71" s="38"/>
    </row>
    <row r="72" spans="1:75">
      <c r="A72">
        <v>57</v>
      </c>
      <c r="C72" s="37" t="str">
        <f t="shared" si="11"/>
        <v>Base FCR</v>
      </c>
      <c r="D72" s="79">
        <f t="shared" si="12"/>
        <v>2026</v>
      </c>
      <c r="E72" s="80">
        <f>+G71</f>
        <v>17777951.309523791</v>
      </c>
      <c r="F72" s="80">
        <f>+E$32</f>
        <v>958810.85714285716</v>
      </c>
      <c r="G72" s="80">
        <f t="shared" si="46"/>
        <v>16819140.452380933</v>
      </c>
      <c r="H72" s="43">
        <f>+E$29*G72+F72</f>
        <v>2802724.5776860667</v>
      </c>
      <c r="I72" s="87">
        <f>+K71</f>
        <v>21670476.190476194</v>
      </c>
      <c r="J72" s="80">
        <f>+I$32</f>
        <v>1048571.4285714285</v>
      </c>
      <c r="K72" s="80">
        <f t="shared" si="0"/>
        <v>20621904.761904765</v>
      </c>
      <c r="L72" s="53">
        <f>+I$29*K72+J72</f>
        <v>3309389.289143411</v>
      </c>
      <c r="M72" s="87">
        <f>+O71</f>
        <v>11809523.809523817</v>
      </c>
      <c r="N72" s="80">
        <f>+M$32</f>
        <v>571428.57142857148</v>
      </c>
      <c r="O72" s="80">
        <f t="shared" si="1"/>
        <v>11238095.238095246</v>
      </c>
      <c r="P72" s="53">
        <f>+M$29*O72+N72</f>
        <v>1803481.9014405515</v>
      </c>
      <c r="Q72" s="87">
        <f>+S71</f>
        <v>1180952.3809523825</v>
      </c>
      <c r="R72" s="80">
        <f>+Q$32</f>
        <v>57142.857142857145</v>
      </c>
      <c r="S72" s="80">
        <f t="shared" si="47"/>
        <v>1123809.5238095254</v>
      </c>
      <c r="T72" s="53">
        <f>+Q$29*S72+R72</f>
        <v>180348.19014405523</v>
      </c>
      <c r="U72" s="87">
        <f>+W71</f>
        <v>1180952.3809523825</v>
      </c>
      <c r="V72" s="80">
        <f>+U$32</f>
        <v>57142.857142857145</v>
      </c>
      <c r="W72" s="80">
        <f t="shared" si="48"/>
        <v>1123809.5238095254</v>
      </c>
      <c r="X72" s="53">
        <f>+U$29*W72+V72</f>
        <v>180348.19014405523</v>
      </c>
      <c r="Y72" s="87">
        <f>+AA71</f>
        <v>1180952.3809523825</v>
      </c>
      <c r="Z72" s="80">
        <f>+Y$32</f>
        <v>57142.857142857145</v>
      </c>
      <c r="AA72" s="80">
        <f t="shared" si="49"/>
        <v>1123809.5238095254</v>
      </c>
      <c r="AB72" s="53">
        <f>+Y$29*AA72+Z72</f>
        <v>180348.19014405523</v>
      </c>
      <c r="AC72" s="87">
        <f>+AE71</f>
        <v>1200000.0000000014</v>
      </c>
      <c r="AD72" s="80">
        <f>+AC$32</f>
        <v>57142.857142857145</v>
      </c>
      <c r="AE72" s="80">
        <f t="shared" si="50"/>
        <v>1142857.1428571444</v>
      </c>
      <c r="AF72" s="53">
        <f>+AC$29*AE72+AD72</f>
        <v>182436.41612712637</v>
      </c>
      <c r="AG72" s="87">
        <f t="shared" si="51"/>
        <v>9752020.3714285716</v>
      </c>
      <c r="AH72" s="80">
        <f>+AG$32</f>
        <v>453582.34285714285</v>
      </c>
      <c r="AI72" s="80">
        <f t="shared" si="52"/>
        <v>9298438.0285714287</v>
      </c>
      <c r="AJ72" s="53">
        <f>+AG$29*AI72+AH72</f>
        <v>1472987.4372522298</v>
      </c>
      <c r="AK72" s="87">
        <f t="shared" si="53"/>
        <v>18148676.442857131</v>
      </c>
      <c r="AL72" s="80">
        <f>+AK$32</f>
        <v>844124.48571428575</v>
      </c>
      <c r="AM72" s="80">
        <f t="shared" si="54"/>
        <v>17304551.957142845</v>
      </c>
      <c r="AN72" s="53">
        <f>+AK$29*AM72+AL72</f>
        <v>2741254.7743855836</v>
      </c>
      <c r="AO72" s="87">
        <f t="shared" si="55"/>
        <v>35985575.857142828</v>
      </c>
      <c r="AP72" s="80">
        <f>+AO$32</f>
        <v>1673747.7142857143</v>
      </c>
      <c r="AQ72" s="80">
        <f t="shared" si="56"/>
        <v>34311828.142857112</v>
      </c>
      <c r="AR72" s="53">
        <f>+AO$29*AQ72+AP72</f>
        <v>5435417.3946514893</v>
      </c>
      <c r="AS72" s="87">
        <f t="shared" si="57"/>
        <v>3210843.1714285687</v>
      </c>
      <c r="AT72" s="80">
        <f>+AS$32</f>
        <v>149341.54285714286</v>
      </c>
      <c r="AU72" s="80">
        <f t="shared" si="58"/>
        <v>3061501.6285714256</v>
      </c>
      <c r="AV72" s="53">
        <f>+AS$29*AU72+AT72</f>
        <v>484979.67337701138</v>
      </c>
      <c r="AW72" s="87">
        <f t="shared" ref="AW72" si="104">+AY71</f>
        <v>12232443.28571428</v>
      </c>
      <c r="AX72" s="80">
        <f>+AW$32</f>
        <v>543480.11428571434</v>
      </c>
      <c r="AY72" s="80">
        <f t="shared" si="60"/>
        <v>11688963.171428565</v>
      </c>
      <c r="AZ72" s="53">
        <f>+AW$29*AY72+AX72</f>
        <v>1824962.9362970064</v>
      </c>
      <c r="BA72" s="87">
        <f t="shared" ref="BA72" si="105">+BC71</f>
        <v>35274700.311238065</v>
      </c>
      <c r="BB72" s="80">
        <f>+BA$32</f>
        <v>1481495.7768571428</v>
      </c>
      <c r="BC72" s="80">
        <f t="shared" si="62"/>
        <v>33793204.53438092</v>
      </c>
      <c r="BD72" s="53">
        <f>+BA$29*BC72+BB72</f>
        <v>5186307.7842535768</v>
      </c>
      <c r="BE72" s="87">
        <f t="shared" ref="BE72" si="106">+BG71</f>
        <v>5965057.6647619028</v>
      </c>
      <c r="BF72" s="80">
        <f>+BE$32</f>
        <v>246385.85714285713</v>
      </c>
      <c r="BG72" s="80">
        <f t="shared" si="64"/>
        <v>5718671.8076190455</v>
      </c>
      <c r="BH72" s="53">
        <f>+BE$29*BG72+BF72</f>
        <v>873334.50765250158</v>
      </c>
      <c r="BI72" s="87">
        <f t="shared" si="17"/>
        <v>5271428.57142857</v>
      </c>
      <c r="BJ72" s="80">
        <f>+BI$32</f>
        <v>257142.85714285713</v>
      </c>
      <c r="BK72" s="80">
        <f t="shared" si="83"/>
        <v>5014285.7142857127</v>
      </c>
      <c r="BL72" s="53">
        <f>+BI$29*BK72+BJ72</f>
        <v>806868.34718633757</v>
      </c>
      <c r="BM72" s="87">
        <f t="shared" ref="BM72" si="107">+BO71</f>
        <v>26185714.285714287</v>
      </c>
      <c r="BN72" s="80">
        <f t="shared" si="97"/>
        <v>1114285.7142857143</v>
      </c>
      <c r="BO72" s="80">
        <f t="shared" si="98"/>
        <v>25071428.571428575</v>
      </c>
      <c r="BP72" s="53">
        <f t="shared" si="99"/>
        <v>3862913.164503118</v>
      </c>
      <c r="BQ72" s="87">
        <f t="shared" ref="BQ72" si="108">+BS71</f>
        <v>6440000</v>
      </c>
      <c r="BR72" s="80">
        <f t="shared" si="101"/>
        <v>262857.14285714284</v>
      </c>
      <c r="BS72" s="80">
        <f t="shared" si="102"/>
        <v>6177142.8571428573</v>
      </c>
      <c r="BT72" s="53">
        <f t="shared" si="103"/>
        <v>940068.82916711725</v>
      </c>
      <c r="BU72" s="81">
        <f t="shared" si="10"/>
        <v>32268171.603555296</v>
      </c>
      <c r="BV72" s="36"/>
      <c r="BW72" s="82">
        <f>+BU72</f>
        <v>32268171.603555296</v>
      </c>
    </row>
    <row r="73" spans="1:75">
      <c r="A73">
        <v>58</v>
      </c>
      <c r="C73" s="37" t="str">
        <f t="shared" si="11"/>
        <v>W Increased ROE</v>
      </c>
      <c r="D73" s="79">
        <f t="shared" si="12"/>
        <v>2026</v>
      </c>
      <c r="E73" s="80">
        <f>+E72</f>
        <v>17777951.309523791</v>
      </c>
      <c r="F73" s="80">
        <f>+F72</f>
        <v>958810.85714285716</v>
      </c>
      <c r="G73" s="80">
        <f t="shared" si="46"/>
        <v>16819140.452380933</v>
      </c>
      <c r="H73" s="43">
        <f>+E$30*G73+F73</f>
        <v>2943530.0966925523</v>
      </c>
      <c r="I73" s="87">
        <f>+I72</f>
        <v>21670476.190476194</v>
      </c>
      <c r="J73" s="80">
        <f>+J72</f>
        <v>1048571.4285714285</v>
      </c>
      <c r="K73" s="80">
        <f t="shared" si="0"/>
        <v>20621904.761904765</v>
      </c>
      <c r="L73" s="53">
        <f>+I$30*K73+J73</f>
        <v>3482030.5731093385</v>
      </c>
      <c r="M73" s="87">
        <f>+M72</f>
        <v>11809523.809523817</v>
      </c>
      <c r="N73" s="80">
        <f>+N72</f>
        <v>571428.57142857148</v>
      </c>
      <c r="O73" s="80">
        <f t="shared" si="1"/>
        <v>11238095.238095246</v>
      </c>
      <c r="P73" s="53">
        <f>+M$30*O73+N73</f>
        <v>1897564.3450187137</v>
      </c>
      <c r="Q73" s="87">
        <f>+Q72</f>
        <v>1180952.3809523825</v>
      </c>
      <c r="R73" s="80">
        <f>+R72</f>
        <v>57142.857142857145</v>
      </c>
      <c r="S73" s="80">
        <f t="shared" si="47"/>
        <v>1123809.5238095254</v>
      </c>
      <c r="T73" s="53">
        <f>+Q$30*S73+R73</f>
        <v>180348.19014405523</v>
      </c>
      <c r="U73" s="87">
        <f>+U72</f>
        <v>1180952.3809523825</v>
      </c>
      <c r="V73" s="80">
        <f>+V72</f>
        <v>57142.857142857145</v>
      </c>
      <c r="W73" s="80">
        <f t="shared" si="48"/>
        <v>1123809.5238095254</v>
      </c>
      <c r="X73" s="53">
        <f>+U$30*W73+V73</f>
        <v>180348.19014405523</v>
      </c>
      <c r="Y73" s="87">
        <f>+Y72</f>
        <v>1180952.3809523825</v>
      </c>
      <c r="Z73" s="80">
        <f>+Z72</f>
        <v>57142.857142857145</v>
      </c>
      <c r="AA73" s="80">
        <f t="shared" si="49"/>
        <v>1123809.5238095254</v>
      </c>
      <c r="AB73" s="53">
        <f>+Y$30*AA73+Z73</f>
        <v>180348.19014405523</v>
      </c>
      <c r="AC73" s="87">
        <f>+AC72</f>
        <v>1200000.0000000014</v>
      </c>
      <c r="AD73" s="80">
        <f>+AD72</f>
        <v>57142.857142857145</v>
      </c>
      <c r="AE73" s="80">
        <f t="shared" si="50"/>
        <v>1142857.1428571444</v>
      </c>
      <c r="AF73" s="53">
        <f>+AC$30*AE73+AD73</f>
        <v>182436.41612712637</v>
      </c>
      <c r="AG73" s="87">
        <f>+AI71</f>
        <v>9752020.3714285716</v>
      </c>
      <c r="AH73" s="80">
        <f>+AH72</f>
        <v>453582.34285714285</v>
      </c>
      <c r="AI73" s="80">
        <f t="shared" si="52"/>
        <v>9298438.0285714287</v>
      </c>
      <c r="AJ73" s="53">
        <f>+AG$30*AI73+AH73</f>
        <v>1550831.5694342225</v>
      </c>
      <c r="AK73" s="87">
        <f>+AM71</f>
        <v>18148676.442857131</v>
      </c>
      <c r="AL73" s="80">
        <f>+AL72</f>
        <v>844124.48571428575</v>
      </c>
      <c r="AM73" s="80">
        <f t="shared" si="54"/>
        <v>17304551.957142845</v>
      </c>
      <c r="AN73" s="53">
        <f>+AK$30*AM73+AL73</f>
        <v>2886124.0336915944</v>
      </c>
      <c r="AO73" s="87">
        <f>+AQ71</f>
        <v>35985575.857142828</v>
      </c>
      <c r="AP73" s="80">
        <f>+AP72</f>
        <v>1673747.7142857143</v>
      </c>
      <c r="AQ73" s="80">
        <f t="shared" si="56"/>
        <v>34311828.142857112</v>
      </c>
      <c r="AR73" s="53">
        <f>+AO$30*AQ73+AP73</f>
        <v>5435417.3946514893</v>
      </c>
      <c r="AS73" s="87">
        <f>+AU71</f>
        <v>3210843.1714285687</v>
      </c>
      <c r="AT73" s="80">
        <f>+AT72</f>
        <v>149341.54285714286</v>
      </c>
      <c r="AU73" s="80">
        <f t="shared" si="58"/>
        <v>3061501.6285714256</v>
      </c>
      <c r="AV73" s="53">
        <f>+AS$30*AU73+AT73</f>
        <v>484979.67337701138</v>
      </c>
      <c r="AW73" s="87">
        <f>+AY71</f>
        <v>12232443.28571428</v>
      </c>
      <c r="AX73" s="80">
        <f>+AX72</f>
        <v>543480.11428571434</v>
      </c>
      <c r="AY73" s="80">
        <f t="shared" si="60"/>
        <v>11688963.171428565</v>
      </c>
      <c r="AZ73" s="53">
        <f>+AW$30*AY73+AX73</f>
        <v>1922819.9302772013</v>
      </c>
      <c r="BA73" s="87">
        <f>+BC71</f>
        <v>35274700.311238065</v>
      </c>
      <c r="BB73" s="80">
        <f>+BB72</f>
        <v>1481495.7768571428</v>
      </c>
      <c r="BC73" s="80">
        <f t="shared" si="62"/>
        <v>33793204.53438092</v>
      </c>
      <c r="BD73" s="53">
        <f>+BA$30*BC73+BB73</f>
        <v>5186307.7842535768</v>
      </c>
      <c r="BE73" s="87">
        <f>+BG71</f>
        <v>5965057.6647619028</v>
      </c>
      <c r="BF73" s="80">
        <f>+BF72</f>
        <v>246385.85714285713</v>
      </c>
      <c r="BG73" s="80">
        <f t="shared" si="64"/>
        <v>5718671.8076190455</v>
      </c>
      <c r="BH73" s="53">
        <f>+BE$30*BG73+BF73</f>
        <v>873334.50765250158</v>
      </c>
      <c r="BI73" s="87">
        <f>+BI72</f>
        <v>5271428.57142857</v>
      </c>
      <c r="BJ73" s="80">
        <f>+BJ72</f>
        <v>257142.85714285713</v>
      </c>
      <c r="BK73" s="80">
        <f t="shared" si="83"/>
        <v>5014285.7142857127</v>
      </c>
      <c r="BL73" s="53">
        <f>+BI$30*BK73+BJ73</f>
        <v>806868.34718633757</v>
      </c>
      <c r="BM73" s="87">
        <f>+BM72</f>
        <v>26185714.285714287</v>
      </c>
      <c r="BN73" s="80">
        <f t="shared" si="97"/>
        <v>1114285.7142857143</v>
      </c>
      <c r="BO73" s="80">
        <f t="shared" si="98"/>
        <v>25071428.571428575</v>
      </c>
      <c r="BP73" s="53">
        <f t="shared" si="99"/>
        <v>3862913.164503118</v>
      </c>
      <c r="BQ73" s="87">
        <f>+BQ72</f>
        <v>6440000</v>
      </c>
      <c r="BR73" s="80">
        <f t="shared" si="101"/>
        <v>262857.14285714284</v>
      </c>
      <c r="BS73" s="80">
        <f t="shared" si="102"/>
        <v>6177142.8571428573</v>
      </c>
      <c r="BT73" s="53">
        <f t="shared" si="103"/>
        <v>940068.82916711725</v>
      </c>
      <c r="BU73" s="81">
        <f t="shared" si="10"/>
        <v>32996271.23557407</v>
      </c>
      <c r="BV73" s="84">
        <f>+BU73</f>
        <v>32996271.23557407</v>
      </c>
      <c r="BW73" s="38"/>
    </row>
    <row r="74" spans="1:75">
      <c r="A74">
        <v>59</v>
      </c>
      <c r="C74" s="37" t="str">
        <f t="shared" si="11"/>
        <v>Base FCR</v>
      </c>
      <c r="D74" s="79">
        <f t="shared" si="12"/>
        <v>2027</v>
      </c>
      <c r="E74" s="80">
        <f>+G73</f>
        <v>16819140.452380933</v>
      </c>
      <c r="F74" s="80">
        <f>+E$32</f>
        <v>958810.85714285716</v>
      </c>
      <c r="G74" s="80">
        <f t="shared" si="46"/>
        <v>15860329.595238077</v>
      </c>
      <c r="H74" s="43">
        <f>+E$29*G74+F74</f>
        <v>2697608.3560874038</v>
      </c>
      <c r="I74" s="87">
        <f>+K73</f>
        <v>20621904.761904765</v>
      </c>
      <c r="J74" s="80">
        <f>+I$32</f>
        <v>1048571.4285714285</v>
      </c>
      <c r="K74" s="80">
        <f t="shared" si="0"/>
        <v>19573333.333333336</v>
      </c>
      <c r="L74" s="53">
        <f>+I$29*K74+J74</f>
        <v>3194432.4487753441</v>
      </c>
      <c r="M74" s="87">
        <f>+O73</f>
        <v>11238095.238095246</v>
      </c>
      <c r="N74" s="80">
        <f>+M$32</f>
        <v>571428.57142857148</v>
      </c>
      <c r="O74" s="80">
        <f t="shared" si="1"/>
        <v>10666666.666666675</v>
      </c>
      <c r="P74" s="53">
        <f>+M$29*O74+N74</f>
        <v>1740835.1219484173</v>
      </c>
      <c r="Q74" s="87">
        <f>+S73</f>
        <v>1123809.5238095254</v>
      </c>
      <c r="R74" s="80">
        <f>+Q$32</f>
        <v>57142.857142857145</v>
      </c>
      <c r="S74" s="80">
        <f t="shared" si="47"/>
        <v>1066666.6666666684</v>
      </c>
      <c r="T74" s="53">
        <f>+Q$29*S74+R74</f>
        <v>174083.51219484181</v>
      </c>
      <c r="U74" s="87">
        <f>+W73</f>
        <v>1123809.5238095254</v>
      </c>
      <c r="V74" s="80">
        <f>+U$32</f>
        <v>57142.857142857145</v>
      </c>
      <c r="W74" s="80">
        <f t="shared" si="48"/>
        <v>1066666.6666666684</v>
      </c>
      <c r="X74" s="53">
        <f>+U$29*W74+V74</f>
        <v>174083.51219484181</v>
      </c>
      <c r="Y74" s="87">
        <f>+AA73</f>
        <v>1123809.5238095254</v>
      </c>
      <c r="Z74" s="80">
        <f>+Y$32</f>
        <v>57142.857142857145</v>
      </c>
      <c r="AA74" s="80">
        <f t="shared" si="49"/>
        <v>1066666.6666666684</v>
      </c>
      <c r="AB74" s="53">
        <f>+Y$29*AA74+Z74</f>
        <v>174083.51219484181</v>
      </c>
      <c r="AC74" s="87">
        <f>+AE73</f>
        <v>1142857.1428571444</v>
      </c>
      <c r="AD74" s="80">
        <f>+AC$32</f>
        <v>57142.857142857145</v>
      </c>
      <c r="AE74" s="80">
        <f t="shared" si="50"/>
        <v>1085714.2857142873</v>
      </c>
      <c r="AF74" s="53">
        <f>+AC$29*AE74+AD74</f>
        <v>176171.73817791295</v>
      </c>
      <c r="AG74" s="87">
        <f t="shared" si="51"/>
        <v>9298438.0285714287</v>
      </c>
      <c r="AH74" s="80">
        <f>+AG$32</f>
        <v>453582.34285714285</v>
      </c>
      <c r="AI74" s="80">
        <f t="shared" si="52"/>
        <v>8844855.6857142858</v>
      </c>
      <c r="AJ74" s="53">
        <f>+AG$29*AI74+AH74</f>
        <v>1423260.3594768597</v>
      </c>
      <c r="AK74" s="87">
        <f t="shared" si="53"/>
        <v>17304551.957142845</v>
      </c>
      <c r="AL74" s="80">
        <f>+AK$32</f>
        <v>844124.48571428575</v>
      </c>
      <c r="AM74" s="80">
        <f t="shared" si="54"/>
        <v>16460427.471428558</v>
      </c>
      <c r="AN74" s="53">
        <f>+AK$29*AM74+AL74</f>
        <v>2648711.8334747883</v>
      </c>
      <c r="AO74" s="87">
        <f t="shared" si="55"/>
        <v>34311828.142857112</v>
      </c>
      <c r="AP74" s="80">
        <f>+AO$32</f>
        <v>1673747.7142857143</v>
      </c>
      <c r="AQ74" s="80">
        <f t="shared" si="56"/>
        <v>32638080.428571399</v>
      </c>
      <c r="AR74" s="53">
        <f>+AO$29*AQ74+AP74</f>
        <v>5251921.3126824275</v>
      </c>
      <c r="AS74" s="87">
        <f t="shared" si="57"/>
        <v>3061501.6285714256</v>
      </c>
      <c r="AT74" s="80">
        <f>+AS$32</f>
        <v>149341.54285714286</v>
      </c>
      <c r="AU74" s="80">
        <f t="shared" si="58"/>
        <v>2912160.0857142825</v>
      </c>
      <c r="AV74" s="53">
        <f>+AS$29*AU74+AT74</f>
        <v>468607.08164433483</v>
      </c>
      <c r="AW74" s="87">
        <f t="shared" ref="AW74" si="109">+AY73</f>
        <v>11688963.171428565</v>
      </c>
      <c r="AX74" s="80">
        <f>+AW$32</f>
        <v>543480.11428571434</v>
      </c>
      <c r="AY74" s="80">
        <f t="shared" si="60"/>
        <v>11145483.05714285</v>
      </c>
      <c r="AZ74" s="53">
        <f>+AW$29*AY74+AX74</f>
        <v>1765380.1982604763</v>
      </c>
      <c r="BA74" s="87">
        <f t="shared" ref="BA74" si="110">+BC73</f>
        <v>33793204.53438092</v>
      </c>
      <c r="BB74" s="80">
        <f>+BA$32</f>
        <v>1481495.7768571428</v>
      </c>
      <c r="BC74" s="80">
        <f t="shared" si="62"/>
        <v>32311708.757523779</v>
      </c>
      <c r="BD74" s="53">
        <f>+BA$29*BC74+BB74</f>
        <v>5023888.6405638065</v>
      </c>
      <c r="BE74" s="87">
        <f t="shared" ref="BE74" si="111">+BG73</f>
        <v>5718671.8076190455</v>
      </c>
      <c r="BF74" s="80">
        <f>+BE$32</f>
        <v>246385.85714285713</v>
      </c>
      <c r="BG74" s="80">
        <f t="shared" si="64"/>
        <v>5472285.9504761882</v>
      </c>
      <c r="BH74" s="53">
        <f>+BE$29*BG74+BF74</f>
        <v>846322.76684328553</v>
      </c>
      <c r="BI74" s="87">
        <f t="shared" si="17"/>
        <v>5014285.7142857127</v>
      </c>
      <c r="BJ74" s="80">
        <f>+BI$32</f>
        <v>257142.85714285713</v>
      </c>
      <c r="BK74" s="80">
        <f t="shared" si="83"/>
        <v>4757142.8571428554</v>
      </c>
      <c r="BL74" s="53">
        <f>+BI$29*BK74+BJ74</f>
        <v>778677.29641487694</v>
      </c>
      <c r="BM74" s="87">
        <f t="shared" ref="BM74" si="112">+BO73</f>
        <v>25071428.571428575</v>
      </c>
      <c r="BN74" s="80">
        <f t="shared" si="97"/>
        <v>1114285.7142857143</v>
      </c>
      <c r="BO74" s="80">
        <f t="shared" si="98"/>
        <v>23957142.857142862</v>
      </c>
      <c r="BP74" s="53">
        <f t="shared" si="99"/>
        <v>3740751.9444934558</v>
      </c>
      <c r="BQ74" s="87">
        <f t="shared" ref="BQ74" si="113">+BS73</f>
        <v>6177142.8571428573</v>
      </c>
      <c r="BR74" s="80">
        <f t="shared" si="101"/>
        <v>262857.14285714284</v>
      </c>
      <c r="BS74" s="80">
        <f t="shared" si="102"/>
        <v>5914285.7142857146</v>
      </c>
      <c r="BT74" s="53">
        <f t="shared" si="103"/>
        <v>911251.31060073536</v>
      </c>
      <c r="BU74" s="81">
        <f t="shared" si="10"/>
        <v>31190070.94602865</v>
      </c>
      <c r="BV74" s="36"/>
      <c r="BW74" s="82">
        <f>+BU74</f>
        <v>31190070.94602865</v>
      </c>
    </row>
    <row r="75" spans="1:75">
      <c r="A75">
        <v>60</v>
      </c>
      <c r="C75" s="37" t="str">
        <f t="shared" si="11"/>
        <v>W Increased ROE</v>
      </c>
      <c r="D75" s="79">
        <f t="shared" si="12"/>
        <v>2027</v>
      </c>
      <c r="E75" s="80">
        <f>+E74</f>
        <v>16819140.452380933</v>
      </c>
      <c r="F75" s="80">
        <f>+F74</f>
        <v>958810.85714285716</v>
      </c>
      <c r="G75" s="80">
        <f t="shared" si="46"/>
        <v>15860329.595238077</v>
      </c>
      <c r="H75" s="43">
        <f>+E$30*G75+F75</f>
        <v>2830386.9571457761</v>
      </c>
      <c r="I75" s="87">
        <f>+I74</f>
        <v>20621904.761904765</v>
      </c>
      <c r="J75" s="80">
        <f>+J74</f>
        <v>1048571.4285714285</v>
      </c>
      <c r="K75" s="80">
        <f t="shared" si="0"/>
        <v>19573333.333333336</v>
      </c>
      <c r="L75" s="53">
        <f>+I$30*K75+J75</f>
        <v>3358295.3623701227</v>
      </c>
      <c r="M75" s="87">
        <f>+M74</f>
        <v>11238095.238095246</v>
      </c>
      <c r="N75" s="80">
        <f>+N74</f>
        <v>571428.57142857148</v>
      </c>
      <c r="O75" s="80">
        <f t="shared" si="1"/>
        <v>10666666.666666675</v>
      </c>
      <c r="P75" s="53">
        <f>+M$30*O75+N75</f>
        <v>1830133.712463283</v>
      </c>
      <c r="Q75" s="87">
        <f>+Q74</f>
        <v>1123809.5238095254</v>
      </c>
      <c r="R75" s="80">
        <f>+R74</f>
        <v>57142.857142857145</v>
      </c>
      <c r="S75" s="80">
        <f t="shared" si="47"/>
        <v>1066666.6666666684</v>
      </c>
      <c r="T75" s="53">
        <f>+Q$30*S75+R75</f>
        <v>174083.51219484181</v>
      </c>
      <c r="U75" s="87">
        <f>+U74</f>
        <v>1123809.5238095254</v>
      </c>
      <c r="V75" s="80">
        <f>+V74</f>
        <v>57142.857142857145</v>
      </c>
      <c r="W75" s="80">
        <f t="shared" si="48"/>
        <v>1066666.6666666684</v>
      </c>
      <c r="X75" s="53">
        <f>+U$30*W75+V75</f>
        <v>174083.51219484181</v>
      </c>
      <c r="Y75" s="87">
        <f>+Y74</f>
        <v>1123809.5238095254</v>
      </c>
      <c r="Z75" s="80">
        <f>+Z74</f>
        <v>57142.857142857145</v>
      </c>
      <c r="AA75" s="80">
        <f t="shared" si="49"/>
        <v>1066666.6666666684</v>
      </c>
      <c r="AB75" s="53">
        <f>+Y$30*AA75+Z75</f>
        <v>174083.51219484181</v>
      </c>
      <c r="AC75" s="87">
        <f>+AC74</f>
        <v>1142857.1428571444</v>
      </c>
      <c r="AD75" s="80">
        <f>+AD74</f>
        <v>57142.857142857145</v>
      </c>
      <c r="AE75" s="80">
        <f t="shared" si="50"/>
        <v>1085714.2857142873</v>
      </c>
      <c r="AF75" s="53">
        <f>+AC$30*AE75+AD75</f>
        <v>176171.73817791295</v>
      </c>
      <c r="AG75" s="87">
        <f>+AI73</f>
        <v>9298438.0285714287</v>
      </c>
      <c r="AH75" s="80">
        <f>+AH74</f>
        <v>453582.34285714285</v>
      </c>
      <c r="AI75" s="80">
        <f t="shared" si="52"/>
        <v>8844855.6857142858</v>
      </c>
      <c r="AJ75" s="53">
        <f>+AG$30*AI75+AH75</f>
        <v>1497307.2169182673</v>
      </c>
      <c r="AK75" s="87">
        <f>+AM73</f>
        <v>17304551.957142845</v>
      </c>
      <c r="AL75" s="80">
        <f>+AL74</f>
        <v>844124.48571428575</v>
      </c>
      <c r="AM75" s="80">
        <f t="shared" si="54"/>
        <v>16460427.471428558</v>
      </c>
      <c r="AN75" s="53">
        <f>+AK$30*AM75+AL75</f>
        <v>2786514.2996439207</v>
      </c>
      <c r="AO75" s="87">
        <f>+AQ73</f>
        <v>34311828.142857112</v>
      </c>
      <c r="AP75" s="80">
        <f>+AP74</f>
        <v>1673747.7142857143</v>
      </c>
      <c r="AQ75" s="80">
        <f t="shared" si="56"/>
        <v>32638080.428571399</v>
      </c>
      <c r="AR75" s="53">
        <f>+AO$30*AQ75+AP75</f>
        <v>5251921.3126824275</v>
      </c>
      <c r="AS75" s="87">
        <f>+AU73</f>
        <v>3061501.6285714256</v>
      </c>
      <c r="AT75" s="80">
        <f>+AT74</f>
        <v>149341.54285714286</v>
      </c>
      <c r="AU75" s="80">
        <f t="shared" si="58"/>
        <v>2912160.0857142825</v>
      </c>
      <c r="AV75" s="53">
        <f>+AS$30*AU75+AT75</f>
        <v>468607.08164433483</v>
      </c>
      <c r="AW75" s="87">
        <f>+AY73</f>
        <v>11688963.171428565</v>
      </c>
      <c r="AX75" s="80">
        <f>+AX74</f>
        <v>543480.11428571434</v>
      </c>
      <c r="AY75" s="80">
        <f t="shared" si="60"/>
        <v>11145483.05714285</v>
      </c>
      <c r="AZ75" s="53">
        <f>+AW$30*AY75+AX75</f>
        <v>1858687.3164739301</v>
      </c>
      <c r="BA75" s="87">
        <f>+BC73</f>
        <v>33793204.53438092</v>
      </c>
      <c r="BB75" s="80">
        <f>+BB74</f>
        <v>1481495.7768571428</v>
      </c>
      <c r="BC75" s="80">
        <f t="shared" si="62"/>
        <v>32311708.757523779</v>
      </c>
      <c r="BD75" s="53">
        <f>+BA$30*BC75+BB75</f>
        <v>5023888.6405638065</v>
      </c>
      <c r="BE75" s="87">
        <f>+BG73</f>
        <v>5718671.8076190455</v>
      </c>
      <c r="BF75" s="80">
        <f>+BF74</f>
        <v>246385.85714285713</v>
      </c>
      <c r="BG75" s="80">
        <f t="shared" si="64"/>
        <v>5472285.9504761882</v>
      </c>
      <c r="BH75" s="53">
        <f>+BE$30*BG75+BF75</f>
        <v>846322.76684328553</v>
      </c>
      <c r="BI75" s="87">
        <f>+BI74</f>
        <v>5014285.7142857127</v>
      </c>
      <c r="BJ75" s="80">
        <f>+BJ74</f>
        <v>257142.85714285713</v>
      </c>
      <c r="BK75" s="80">
        <f t="shared" si="83"/>
        <v>4757142.8571428554</v>
      </c>
      <c r="BL75" s="53">
        <f>+BI$30*BK75+BJ75</f>
        <v>778677.29641487694</v>
      </c>
      <c r="BM75" s="87">
        <f>+BM74</f>
        <v>25071428.571428575</v>
      </c>
      <c r="BN75" s="80">
        <f t="shared" si="97"/>
        <v>1114285.7142857143</v>
      </c>
      <c r="BO75" s="80">
        <f t="shared" si="98"/>
        <v>23957142.857142862</v>
      </c>
      <c r="BP75" s="53">
        <f t="shared" si="99"/>
        <v>3740751.9444934558</v>
      </c>
      <c r="BQ75" s="87">
        <f>+BQ74</f>
        <v>6177142.8571428573</v>
      </c>
      <c r="BR75" s="80">
        <f t="shared" si="101"/>
        <v>262857.14285714284</v>
      </c>
      <c r="BS75" s="80">
        <f t="shared" si="102"/>
        <v>5914285.7142857146</v>
      </c>
      <c r="BT75" s="53">
        <f t="shared" si="103"/>
        <v>911251.31060073536</v>
      </c>
      <c r="BU75" s="81">
        <f t="shared" si="10"/>
        <v>31881167.493020661</v>
      </c>
      <c r="BV75" s="84">
        <f>+BU75</f>
        <v>31881167.493020661</v>
      </c>
      <c r="BW75" s="38"/>
    </row>
    <row r="76" spans="1:75">
      <c r="A76">
        <v>61</v>
      </c>
      <c r="C76" s="37"/>
      <c r="D76" s="89"/>
      <c r="E76" s="90"/>
      <c r="F76" s="90"/>
      <c r="G76" s="90"/>
      <c r="H76" s="91"/>
      <c r="I76" s="92"/>
      <c r="J76" s="92"/>
      <c r="K76" s="92"/>
      <c r="L76" s="91"/>
      <c r="M76" s="92"/>
      <c r="N76" s="92"/>
      <c r="O76" s="92"/>
      <c r="P76" s="91"/>
      <c r="Q76" s="92"/>
      <c r="R76" s="92"/>
      <c r="S76" s="92"/>
      <c r="T76" s="91"/>
      <c r="U76" s="92"/>
      <c r="V76" s="92"/>
      <c r="W76" s="92"/>
      <c r="X76" s="91"/>
      <c r="Y76" s="92"/>
      <c r="Z76" s="92"/>
      <c r="AA76" s="92"/>
      <c r="AB76" s="91"/>
      <c r="AC76" s="92"/>
      <c r="AD76" s="92"/>
      <c r="AE76" s="92"/>
      <c r="AF76" s="91"/>
      <c r="AG76" s="92"/>
      <c r="AH76" s="92"/>
      <c r="AI76" s="92"/>
      <c r="AJ76" s="91"/>
      <c r="AK76" s="92"/>
      <c r="AL76" s="92"/>
      <c r="AM76" s="92"/>
      <c r="AN76" s="91"/>
      <c r="AO76" s="92"/>
      <c r="AP76" s="92"/>
      <c r="AQ76" s="92"/>
      <c r="AR76" s="91"/>
      <c r="AS76" s="92"/>
      <c r="AT76" s="92"/>
      <c r="AU76" s="92"/>
      <c r="AV76" s="91"/>
      <c r="AW76" s="92"/>
      <c r="AX76" s="92"/>
      <c r="AY76" s="92"/>
      <c r="AZ76" s="91"/>
      <c r="BA76" s="92"/>
      <c r="BB76" s="92"/>
      <c r="BC76" s="92"/>
      <c r="BD76" s="91"/>
      <c r="BE76" s="92"/>
      <c r="BF76" s="92"/>
      <c r="BG76" s="92"/>
      <c r="BH76" s="91"/>
      <c r="BI76" s="1491"/>
      <c r="BJ76" s="90"/>
      <c r="BK76" s="90"/>
      <c r="BL76" s="91"/>
      <c r="BM76" s="90"/>
      <c r="BN76" s="90"/>
      <c r="BO76" s="90"/>
      <c r="BP76" s="90"/>
      <c r="BQ76" s="92"/>
      <c r="BR76" s="92"/>
      <c r="BS76" s="92"/>
      <c r="BT76" s="91"/>
      <c r="BU76" s="81"/>
      <c r="BV76" s="36"/>
      <c r="BW76" s="82"/>
    </row>
    <row r="77" spans="1:75" ht="15.75" thickBot="1">
      <c r="A77">
        <v>62</v>
      </c>
      <c r="C77" s="65"/>
      <c r="D77" s="93"/>
      <c r="E77" s="94"/>
      <c r="F77" s="94"/>
      <c r="G77" s="94"/>
      <c r="H77" s="95"/>
      <c r="I77" s="96"/>
      <c r="J77" s="96"/>
      <c r="K77" s="96"/>
      <c r="L77" s="95"/>
      <c r="M77" s="96"/>
      <c r="N77" s="96"/>
      <c r="O77" s="96"/>
      <c r="P77" s="95"/>
      <c r="Q77" s="96"/>
      <c r="R77" s="96"/>
      <c r="S77" s="96"/>
      <c r="T77" s="95"/>
      <c r="U77" s="96"/>
      <c r="V77" s="96"/>
      <c r="W77" s="96"/>
      <c r="X77" s="95"/>
      <c r="Y77" s="96"/>
      <c r="Z77" s="96"/>
      <c r="AA77" s="96"/>
      <c r="AB77" s="95"/>
      <c r="AC77" s="96"/>
      <c r="AD77" s="96"/>
      <c r="AE77" s="96"/>
      <c r="AF77" s="95"/>
      <c r="AG77" s="96"/>
      <c r="AH77" s="96"/>
      <c r="AI77" s="96"/>
      <c r="AJ77" s="95"/>
      <c r="AK77" s="96"/>
      <c r="AL77" s="96"/>
      <c r="AM77" s="96"/>
      <c r="AN77" s="95"/>
      <c r="AO77" s="96"/>
      <c r="AP77" s="96"/>
      <c r="AQ77" s="96"/>
      <c r="AR77" s="95"/>
      <c r="AS77" s="96"/>
      <c r="AT77" s="96"/>
      <c r="AU77" s="96"/>
      <c r="AV77" s="95"/>
      <c r="AW77" s="96"/>
      <c r="AX77" s="96"/>
      <c r="AY77" s="96"/>
      <c r="AZ77" s="95"/>
      <c r="BA77" s="96"/>
      <c r="BB77" s="96"/>
      <c r="BC77" s="96"/>
      <c r="BD77" s="95"/>
      <c r="BE77" s="96"/>
      <c r="BF77" s="96"/>
      <c r="BG77" s="96"/>
      <c r="BH77" s="95"/>
      <c r="BI77" s="1492"/>
      <c r="BJ77" s="94"/>
      <c r="BK77" s="94"/>
      <c r="BL77" s="95"/>
      <c r="BM77" s="94"/>
      <c r="BN77" s="94"/>
      <c r="BO77" s="94"/>
      <c r="BP77" s="94"/>
      <c r="BQ77" s="96"/>
      <c r="BR77" s="96"/>
      <c r="BS77" s="96"/>
      <c r="BT77" s="95"/>
      <c r="BU77" s="97"/>
      <c r="BV77" s="98"/>
      <c r="BW77" s="74"/>
    </row>
    <row r="78" spans="1:75">
      <c r="A78">
        <v>63</v>
      </c>
      <c r="C78" s="99"/>
      <c r="D78" s="100"/>
      <c r="E78" s="99"/>
      <c r="F78" s="99"/>
      <c r="G78" s="99"/>
      <c r="H78" s="101"/>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102">
        <f>SUM(BV36:BV75)</f>
        <v>712910113.18711174</v>
      </c>
      <c r="BW78" s="102">
        <f>SUM(BW36:BW75)</f>
        <v>695155628.29195619</v>
      </c>
    </row>
    <row r="79" spans="1:75">
      <c r="C79" s="103"/>
      <c r="L79"/>
    </row>
    <row r="80" spans="1:75">
      <c r="L80"/>
      <c r="BV80" s="104"/>
    </row>
    <row r="81" spans="61:72" customFormat="1">
      <c r="BI81" s="1468"/>
      <c r="BJ81" s="1468"/>
      <c r="BK81" s="1468"/>
      <c r="BL81" s="1468"/>
      <c r="BM81" s="1468"/>
      <c r="BN81" s="1468"/>
      <c r="BO81" s="1468"/>
      <c r="BP81" s="1468"/>
      <c r="BQ81" s="1468"/>
      <c r="BR81" s="1468"/>
      <c r="BS81" s="1468"/>
      <c r="BT81" s="1468"/>
    </row>
    <row r="82" spans="61:72" customFormat="1">
      <c r="BI82" s="1468"/>
      <c r="BJ82" s="1468"/>
      <c r="BK82" s="1468"/>
      <c r="BL82" s="1468"/>
      <c r="BM82" s="1468"/>
      <c r="BN82" s="1468"/>
      <c r="BO82" s="1468"/>
      <c r="BP82" s="1468"/>
      <c r="BQ82" s="1468"/>
      <c r="BR82" s="1468"/>
      <c r="BS82" s="1468"/>
      <c r="BT82" s="1468"/>
    </row>
    <row r="83" spans="61:72" customFormat="1">
      <c r="BI83" s="1468"/>
      <c r="BJ83" s="1468"/>
      <c r="BK83" s="1468"/>
      <c r="BL83" s="1468"/>
      <c r="BM83" s="1468"/>
      <c r="BN83" s="1468"/>
      <c r="BO83" s="1468"/>
      <c r="BP83" s="1468"/>
      <c r="BQ83" s="1468"/>
      <c r="BR83" s="1468"/>
      <c r="BS83" s="1468"/>
      <c r="BT83" s="1468"/>
    </row>
    <row r="84" spans="61:72" customFormat="1">
      <c r="BI84" s="1468"/>
      <c r="BJ84" s="1468"/>
      <c r="BK84" s="1468"/>
      <c r="BL84" s="1468"/>
      <c r="BM84" s="1468"/>
      <c r="BN84" s="1468"/>
      <c r="BO84" s="1468"/>
      <c r="BP84" s="1468"/>
      <c r="BQ84" s="1468"/>
      <c r="BR84" s="1468"/>
      <c r="BS84" s="1468"/>
      <c r="BT84" s="1468"/>
    </row>
    <row r="85" spans="61:72" customFormat="1">
      <c r="BI85" s="1468"/>
      <c r="BJ85" s="1468"/>
      <c r="BK85" s="1468"/>
      <c r="BL85" s="1468"/>
      <c r="BM85" s="1468"/>
      <c r="BN85" s="1468"/>
      <c r="BO85" s="1468"/>
      <c r="BP85" s="1468"/>
      <c r="BQ85" s="1468"/>
      <c r="BR85" s="1468"/>
      <c r="BS85" s="1468"/>
      <c r="BT85" s="1468"/>
    </row>
    <row r="86" spans="61:72" customFormat="1">
      <c r="BI86" s="1468"/>
      <c r="BJ86" s="1468"/>
      <c r="BK86" s="1468"/>
      <c r="BL86" s="1468"/>
      <c r="BM86" s="1468"/>
      <c r="BN86" s="1468"/>
      <c r="BO86" s="1468"/>
      <c r="BP86" s="1468"/>
      <c r="BQ86" s="1468"/>
      <c r="BR86" s="1468"/>
      <c r="BS86" s="1468"/>
      <c r="BT86" s="1468"/>
    </row>
    <row r="87" spans="61:72" customFormat="1">
      <c r="BI87" s="1468"/>
      <c r="BJ87" s="1468"/>
      <c r="BK87" s="1468"/>
      <c r="BL87" s="1468"/>
      <c r="BM87" s="1468"/>
      <c r="BN87" s="1468"/>
      <c r="BO87" s="1468"/>
      <c r="BP87" s="1468"/>
      <c r="BQ87" s="1468"/>
      <c r="BR87" s="1468"/>
      <c r="BS87" s="1468"/>
      <c r="BT87" s="1468"/>
    </row>
    <row r="88" spans="61:72" customFormat="1">
      <c r="BI88" s="1468"/>
      <c r="BJ88" s="1468"/>
      <c r="BK88" s="1468"/>
      <c r="BL88" s="1468"/>
      <c r="BM88" s="1468"/>
      <c r="BN88" s="1468"/>
      <c r="BO88" s="1468"/>
      <c r="BP88" s="1468"/>
      <c r="BQ88" s="1468"/>
      <c r="BR88" s="1468"/>
      <c r="BS88" s="1468"/>
      <c r="BT88" s="1468"/>
    </row>
    <row r="89" spans="61:72" customFormat="1">
      <c r="BI89" s="1468"/>
      <c r="BJ89" s="1468"/>
      <c r="BK89" s="1468"/>
      <c r="BL89" s="1468"/>
      <c r="BM89" s="1468"/>
      <c r="BN89" s="1468"/>
      <c r="BO89" s="1468"/>
      <c r="BP89" s="1468"/>
      <c r="BQ89" s="1468"/>
      <c r="BR89" s="1468"/>
      <c r="BS89" s="1468"/>
      <c r="BT89" s="1468"/>
    </row>
    <row r="90" spans="61:72" customFormat="1">
      <c r="BI90" s="1468"/>
      <c r="BJ90" s="1468"/>
      <c r="BK90" s="1468"/>
      <c r="BL90" s="1468"/>
      <c r="BM90" s="1468"/>
      <c r="BN90" s="1468"/>
      <c r="BO90" s="1468"/>
      <c r="BP90" s="1468"/>
      <c r="BQ90" s="1468"/>
      <c r="BR90" s="1468"/>
      <c r="BS90" s="1468"/>
      <c r="BT90" s="1468"/>
    </row>
    <row r="91" spans="61:72" customFormat="1">
      <c r="BI91" s="1468"/>
      <c r="BJ91" s="1468"/>
      <c r="BK91" s="1468"/>
      <c r="BL91" s="1468"/>
      <c r="BM91" s="1468"/>
      <c r="BN91" s="1468"/>
      <c r="BO91" s="1468"/>
      <c r="BP91" s="1468"/>
      <c r="BQ91" s="1468"/>
      <c r="BR91" s="1468"/>
      <c r="BS91" s="1468"/>
      <c r="BT91" s="1468"/>
    </row>
    <row r="92" spans="61:72" customFormat="1">
      <c r="BI92" s="1468"/>
      <c r="BJ92" s="1468"/>
      <c r="BK92" s="1468"/>
      <c r="BL92" s="1468"/>
      <c r="BM92" s="1468"/>
      <c r="BN92" s="1468"/>
      <c r="BO92" s="1468"/>
      <c r="BP92" s="1468"/>
      <c r="BQ92" s="1468"/>
      <c r="BR92" s="1468"/>
      <c r="BS92" s="1468"/>
      <c r="BT92" s="1468"/>
    </row>
    <row r="93" spans="61:72" customFormat="1">
      <c r="BI93" s="1468"/>
      <c r="BJ93" s="1468"/>
      <c r="BK93" s="1468"/>
      <c r="BL93" s="1468"/>
      <c r="BM93" s="1468"/>
      <c r="BN93" s="1468"/>
      <c r="BO93" s="1468"/>
      <c r="BP93" s="1468"/>
      <c r="BQ93" s="1468"/>
      <c r="BR93" s="1468"/>
      <c r="BS93" s="1468"/>
      <c r="BT93" s="1468"/>
    </row>
    <row r="94" spans="61:72" customFormat="1">
      <c r="BI94" s="1468"/>
      <c r="BJ94" s="1468"/>
      <c r="BK94" s="1468"/>
      <c r="BL94" s="1468"/>
      <c r="BM94" s="1468"/>
      <c r="BN94" s="1468"/>
      <c r="BO94" s="1468"/>
      <c r="BP94" s="1468"/>
      <c r="BQ94" s="1468"/>
      <c r="BR94" s="1468"/>
      <c r="BS94" s="1468"/>
      <c r="BT94" s="1468"/>
    </row>
    <row r="95" spans="61:72" customFormat="1">
      <c r="BI95" s="1468"/>
      <c r="BJ95" s="1468"/>
      <c r="BK95" s="1468"/>
      <c r="BL95" s="1468"/>
      <c r="BM95" s="1468"/>
      <c r="BN95" s="1468"/>
      <c r="BO95" s="1468"/>
      <c r="BP95" s="1468"/>
      <c r="BQ95" s="1468"/>
      <c r="BR95" s="1468"/>
      <c r="BS95" s="1468"/>
      <c r="BT95" s="1468"/>
    </row>
    <row r="96" spans="61:72" customFormat="1">
      <c r="BI96" s="1468"/>
      <c r="BJ96" s="1468"/>
      <c r="BK96" s="1468"/>
      <c r="BL96" s="1468"/>
      <c r="BM96" s="1468"/>
      <c r="BN96" s="1468"/>
      <c r="BO96" s="1468"/>
      <c r="BP96" s="1468"/>
      <c r="BQ96" s="1468"/>
      <c r="BR96" s="1468"/>
      <c r="BS96" s="1468"/>
      <c r="BT96" s="1468"/>
    </row>
    <row r="97" spans="61:72" customFormat="1">
      <c r="BI97" s="1468"/>
      <c r="BJ97" s="1468"/>
      <c r="BK97" s="1468"/>
      <c r="BL97" s="1468"/>
      <c r="BM97" s="1468"/>
      <c r="BN97" s="1468"/>
      <c r="BO97" s="1468"/>
      <c r="BP97" s="1468"/>
      <c r="BQ97" s="1468"/>
      <c r="BR97" s="1468"/>
      <c r="BS97" s="1468"/>
      <c r="BT97" s="1468"/>
    </row>
    <row r="98" spans="61:72" customFormat="1">
      <c r="BI98" s="1468"/>
      <c r="BJ98" s="1468"/>
      <c r="BK98" s="1468"/>
      <c r="BL98" s="1468"/>
      <c r="BM98" s="1468"/>
      <c r="BN98" s="1468"/>
      <c r="BO98" s="1468"/>
      <c r="BP98" s="1468"/>
      <c r="BQ98" s="1468"/>
      <c r="BR98" s="1468"/>
      <c r="BS98" s="1468"/>
      <c r="BT98" s="1468"/>
    </row>
    <row r="99" spans="61:72" customFormat="1">
      <c r="BI99" s="1468"/>
      <c r="BJ99" s="1468"/>
      <c r="BK99" s="1468"/>
      <c r="BL99" s="1468"/>
      <c r="BM99" s="1468"/>
      <c r="BN99" s="1468"/>
      <c r="BO99" s="1468"/>
      <c r="BP99" s="1468"/>
      <c r="BQ99" s="1468"/>
      <c r="BR99" s="1468"/>
      <c r="BS99" s="1468"/>
      <c r="BT99" s="1468"/>
    </row>
    <row r="100" spans="61:72" customFormat="1">
      <c r="BI100" s="1468"/>
      <c r="BJ100" s="1468"/>
      <c r="BK100" s="1468"/>
      <c r="BL100" s="1468"/>
      <c r="BM100" s="1468"/>
      <c r="BN100" s="1468"/>
      <c r="BO100" s="1468"/>
      <c r="BP100" s="1468"/>
      <c r="BQ100" s="1468"/>
      <c r="BR100" s="1468"/>
      <c r="BS100" s="1468"/>
      <c r="BT100" s="1468"/>
    </row>
    <row r="101" spans="61:72" customFormat="1">
      <c r="BI101" s="1468"/>
      <c r="BJ101" s="1468"/>
      <c r="BK101" s="1468"/>
      <c r="BL101" s="1468"/>
      <c r="BM101" s="1468"/>
      <c r="BN101" s="1468"/>
      <c r="BO101" s="1468"/>
      <c r="BP101" s="1468"/>
      <c r="BQ101" s="1468"/>
      <c r="BR101" s="1468"/>
      <c r="BS101" s="1468"/>
      <c r="BT101" s="1468"/>
    </row>
    <row r="102" spans="61:72" customFormat="1">
      <c r="BI102" s="1468"/>
      <c r="BJ102" s="1468"/>
      <c r="BK102" s="1468"/>
      <c r="BL102" s="1468"/>
      <c r="BM102" s="1468"/>
      <c r="BN102" s="1468"/>
      <c r="BO102" s="1468"/>
      <c r="BP102" s="1468"/>
      <c r="BQ102" s="1468"/>
      <c r="BR102" s="1468"/>
      <c r="BS102" s="1468"/>
      <c r="BT102" s="1468"/>
    </row>
    <row r="103" spans="61:72" customFormat="1">
      <c r="BI103" s="1468"/>
      <c r="BJ103" s="1468"/>
      <c r="BK103" s="1468"/>
      <c r="BL103" s="1468"/>
      <c r="BM103" s="1468"/>
      <c r="BN103" s="1468"/>
      <c r="BO103" s="1468"/>
      <c r="BP103" s="1468"/>
      <c r="BQ103" s="1468"/>
      <c r="BR103" s="1468"/>
      <c r="BS103" s="1468"/>
      <c r="BT103" s="1468"/>
    </row>
    <row r="104" spans="61:72" customFormat="1">
      <c r="BI104" s="1468"/>
      <c r="BJ104" s="1468"/>
      <c r="BK104" s="1468"/>
      <c r="BL104" s="1468"/>
      <c r="BM104" s="1468"/>
      <c r="BN104" s="1468"/>
      <c r="BO104" s="1468"/>
      <c r="BP104" s="1468"/>
      <c r="BQ104" s="1468"/>
      <c r="BR104" s="1468"/>
      <c r="BS104" s="1468"/>
      <c r="BT104" s="1468"/>
    </row>
    <row r="105" spans="61:72" customFormat="1">
      <c r="BI105" s="1468"/>
      <c r="BJ105" s="1468"/>
      <c r="BK105" s="1468"/>
      <c r="BL105" s="1468"/>
      <c r="BM105" s="1468"/>
      <c r="BN105" s="1468"/>
      <c r="BO105" s="1468"/>
      <c r="BP105" s="1468"/>
      <c r="BQ105" s="1468"/>
      <c r="BR105" s="1468"/>
      <c r="BS105" s="1468"/>
      <c r="BT105" s="1468"/>
    </row>
    <row r="106" spans="61:72" customFormat="1">
      <c r="BI106" s="1468"/>
      <c r="BJ106" s="1468"/>
      <c r="BK106" s="1468"/>
      <c r="BL106" s="1468"/>
      <c r="BM106" s="1468"/>
      <c r="BN106" s="1468"/>
      <c r="BO106" s="1468"/>
      <c r="BP106" s="1468"/>
      <c r="BQ106" s="1468"/>
      <c r="BR106" s="1468"/>
      <c r="BS106" s="1468"/>
      <c r="BT106" s="1468"/>
    </row>
    <row r="107" spans="61:72" customFormat="1">
      <c r="BI107" s="1468"/>
      <c r="BJ107" s="1468"/>
      <c r="BK107" s="1468"/>
      <c r="BL107" s="1468"/>
      <c r="BM107" s="1468"/>
      <c r="BN107" s="1468"/>
      <c r="BO107" s="1468"/>
      <c r="BP107" s="1468"/>
      <c r="BQ107" s="1468"/>
      <c r="BR107" s="1468"/>
      <c r="BS107" s="1468"/>
      <c r="BT107" s="1468"/>
    </row>
    <row r="108" spans="61:72" customFormat="1">
      <c r="BI108" s="1468"/>
      <c r="BJ108" s="1468"/>
      <c r="BK108" s="1468"/>
      <c r="BL108" s="1468"/>
      <c r="BM108" s="1468"/>
      <c r="BN108" s="1468"/>
      <c r="BO108" s="1468"/>
      <c r="BP108" s="1468"/>
      <c r="BQ108" s="1468"/>
      <c r="BR108" s="1468"/>
      <c r="BS108" s="1468"/>
      <c r="BT108" s="1468"/>
    </row>
    <row r="109" spans="61:72" customFormat="1">
      <c r="BI109" s="1468"/>
      <c r="BJ109" s="1468"/>
      <c r="BK109" s="1468"/>
      <c r="BL109" s="1468"/>
      <c r="BM109" s="1468"/>
      <c r="BN109" s="1468"/>
      <c r="BO109" s="1468"/>
      <c r="BP109" s="1468"/>
      <c r="BQ109" s="1468"/>
      <c r="BR109" s="1468"/>
      <c r="BS109" s="1468"/>
      <c r="BT109" s="1468"/>
    </row>
    <row r="110" spans="61:72" customFormat="1">
      <c r="BI110" s="1468"/>
      <c r="BJ110" s="1468"/>
      <c r="BK110" s="1468"/>
      <c r="BL110" s="1468"/>
      <c r="BM110" s="1468"/>
      <c r="BN110" s="1468"/>
      <c r="BO110" s="1468"/>
      <c r="BP110" s="1468"/>
      <c r="BQ110" s="1468"/>
      <c r="BR110" s="1468"/>
      <c r="BS110" s="1468"/>
      <c r="BT110" s="1468"/>
    </row>
    <row r="111" spans="61:72" customFormat="1">
      <c r="BI111" s="1468"/>
      <c r="BJ111" s="1468"/>
      <c r="BK111" s="1468"/>
      <c r="BL111" s="1468"/>
      <c r="BM111" s="1468"/>
      <c r="BN111" s="1468"/>
      <c r="BO111" s="1468"/>
      <c r="BP111" s="1468"/>
      <c r="BQ111" s="1468"/>
      <c r="BR111" s="1468"/>
      <c r="BS111" s="1468"/>
      <c r="BT111" s="1468"/>
    </row>
    <row r="112" spans="61:72" customFormat="1">
      <c r="BI112" s="1468"/>
      <c r="BJ112" s="1468"/>
      <c r="BK112" s="1468"/>
      <c r="BL112" s="1468"/>
      <c r="BM112" s="1468"/>
      <c r="BN112" s="1468"/>
      <c r="BO112" s="1468"/>
      <c r="BP112" s="1468"/>
      <c r="BQ112" s="1468"/>
      <c r="BR112" s="1468"/>
      <c r="BS112" s="1468"/>
      <c r="BT112" s="1468"/>
    </row>
    <row r="113" spans="61:72" customFormat="1">
      <c r="BI113" s="1468"/>
      <c r="BJ113" s="1468"/>
      <c r="BK113" s="1468"/>
      <c r="BL113" s="1468"/>
      <c r="BM113" s="1468"/>
      <c r="BN113" s="1468"/>
      <c r="BO113" s="1468"/>
      <c r="BP113" s="1468"/>
      <c r="BQ113" s="1468"/>
      <c r="BR113" s="1468"/>
      <c r="BS113" s="1468"/>
      <c r="BT113" s="1468"/>
    </row>
    <row r="114" spans="61:72" customFormat="1">
      <c r="BI114" s="1468"/>
      <c r="BJ114" s="1468"/>
      <c r="BK114" s="1468"/>
      <c r="BL114" s="1468"/>
      <c r="BM114" s="1468"/>
      <c r="BN114" s="1468"/>
      <c r="BO114" s="1468"/>
      <c r="BP114" s="1468"/>
      <c r="BQ114" s="1468"/>
      <c r="BR114" s="1468"/>
      <c r="BS114" s="1468"/>
      <c r="BT114" s="1468"/>
    </row>
    <row r="115" spans="61:72" customFormat="1">
      <c r="BI115" s="1468"/>
      <c r="BJ115" s="1468"/>
      <c r="BK115" s="1468"/>
      <c r="BL115" s="1468"/>
      <c r="BM115" s="1468"/>
      <c r="BN115" s="1468"/>
      <c r="BO115" s="1468"/>
      <c r="BP115" s="1468"/>
      <c r="BQ115" s="1468"/>
      <c r="BR115" s="1468"/>
      <c r="BS115" s="1468"/>
      <c r="BT115" s="1468"/>
    </row>
    <row r="116" spans="61:72" customFormat="1">
      <c r="BI116" s="1468"/>
      <c r="BJ116" s="1468"/>
      <c r="BK116" s="1468"/>
      <c r="BL116" s="1468"/>
      <c r="BM116" s="1468"/>
      <c r="BN116" s="1468"/>
      <c r="BO116" s="1468"/>
      <c r="BP116" s="1468"/>
      <c r="BQ116" s="1468"/>
      <c r="BR116" s="1468"/>
      <c r="BS116" s="1468"/>
      <c r="BT116" s="1468"/>
    </row>
    <row r="117" spans="61:72" customFormat="1">
      <c r="BI117" s="1468"/>
      <c r="BJ117" s="1468"/>
      <c r="BK117" s="1468"/>
      <c r="BL117" s="1468"/>
      <c r="BM117" s="1468"/>
      <c r="BN117" s="1468"/>
      <c r="BO117" s="1468"/>
      <c r="BP117" s="1468"/>
      <c r="BQ117" s="1468"/>
      <c r="BR117" s="1468"/>
      <c r="BS117" s="1468"/>
      <c r="BT117" s="1468"/>
    </row>
    <row r="118" spans="61:72" customFormat="1">
      <c r="BI118" s="1468"/>
      <c r="BJ118" s="1468"/>
      <c r="BK118" s="1468"/>
      <c r="BL118" s="1468"/>
      <c r="BM118" s="1468"/>
      <c r="BN118" s="1468"/>
      <c r="BO118" s="1468"/>
      <c r="BP118" s="1468"/>
      <c r="BQ118" s="1468"/>
      <c r="BR118" s="1468"/>
      <c r="BS118" s="1468"/>
      <c r="BT118" s="1468"/>
    </row>
    <row r="119" spans="61:72" customFormat="1">
      <c r="BI119" s="1468"/>
      <c r="BJ119" s="1468"/>
      <c r="BK119" s="1468"/>
      <c r="BL119" s="1468"/>
      <c r="BM119" s="1468"/>
      <c r="BN119" s="1468"/>
      <c r="BO119" s="1468"/>
      <c r="BP119" s="1468"/>
      <c r="BQ119" s="1468"/>
      <c r="BR119" s="1468"/>
      <c r="BS119" s="1468"/>
      <c r="BT119" s="1468"/>
    </row>
    <row r="120" spans="61:72" customFormat="1">
      <c r="BI120" s="1468"/>
      <c r="BJ120" s="1468"/>
      <c r="BK120" s="1468"/>
      <c r="BL120" s="1468"/>
      <c r="BM120" s="1468"/>
      <c r="BN120" s="1468"/>
      <c r="BO120" s="1468"/>
      <c r="BP120" s="1468"/>
      <c r="BQ120" s="1468"/>
      <c r="BR120" s="1468"/>
      <c r="BS120" s="1468"/>
      <c r="BT120" s="1468"/>
    </row>
    <row r="121" spans="61:72" customFormat="1">
      <c r="BI121" s="1468"/>
      <c r="BJ121" s="1468"/>
      <c r="BK121" s="1468"/>
      <c r="BL121" s="1468"/>
      <c r="BM121" s="1468"/>
      <c r="BN121" s="1468"/>
      <c r="BO121" s="1468"/>
      <c r="BP121" s="1468"/>
      <c r="BQ121" s="1468"/>
      <c r="BR121" s="1468"/>
      <c r="BS121" s="1468"/>
      <c r="BT121" s="1468"/>
    </row>
    <row r="122" spans="61:72" customFormat="1">
      <c r="BI122" s="1468"/>
      <c r="BJ122" s="1468"/>
      <c r="BK122" s="1468"/>
      <c r="BL122" s="1468"/>
      <c r="BM122" s="1468"/>
      <c r="BN122" s="1468"/>
      <c r="BO122" s="1468"/>
      <c r="BP122" s="1468"/>
      <c r="BQ122" s="1468"/>
      <c r="BR122" s="1468"/>
      <c r="BS122" s="1468"/>
      <c r="BT122" s="1468"/>
    </row>
    <row r="123" spans="61:72" customFormat="1">
      <c r="BI123" s="1468"/>
      <c r="BJ123" s="1468"/>
      <c r="BK123" s="1468"/>
      <c r="BL123" s="1468"/>
      <c r="BM123" s="1468"/>
      <c r="BN123" s="1468"/>
      <c r="BO123" s="1468"/>
      <c r="BP123" s="1468"/>
      <c r="BQ123" s="1468"/>
      <c r="BR123" s="1468"/>
      <c r="BS123" s="1468"/>
      <c r="BT123" s="1468"/>
    </row>
    <row r="124" spans="61:72" customFormat="1">
      <c r="BI124" s="1468"/>
      <c r="BJ124" s="1468"/>
      <c r="BK124" s="1468"/>
      <c r="BL124" s="1468"/>
      <c r="BM124" s="1468"/>
      <c r="BN124" s="1468"/>
      <c r="BO124" s="1468"/>
      <c r="BP124" s="1468"/>
      <c r="BQ124" s="1468"/>
      <c r="BR124" s="1468"/>
      <c r="BS124" s="1468"/>
      <c r="BT124" s="1468"/>
    </row>
    <row r="125" spans="61:72" customFormat="1">
      <c r="BI125" s="1468"/>
      <c r="BJ125" s="1468"/>
      <c r="BK125" s="1468"/>
      <c r="BL125" s="1468"/>
      <c r="BM125" s="1468"/>
      <c r="BN125" s="1468"/>
      <c r="BO125" s="1468"/>
      <c r="BP125" s="1468"/>
      <c r="BQ125" s="1468"/>
      <c r="BR125" s="1468"/>
      <c r="BS125" s="1468"/>
      <c r="BT125" s="1468"/>
    </row>
    <row r="126" spans="61:72" customFormat="1">
      <c r="BI126" s="1468"/>
      <c r="BJ126" s="1468"/>
      <c r="BK126" s="1468"/>
      <c r="BL126" s="1468"/>
      <c r="BM126" s="1468"/>
      <c r="BN126" s="1468"/>
      <c r="BO126" s="1468"/>
      <c r="BP126" s="1468"/>
      <c r="BQ126" s="1468"/>
      <c r="BR126" s="1468"/>
      <c r="BS126" s="1468"/>
      <c r="BT126" s="1468"/>
    </row>
    <row r="127" spans="61:72" customFormat="1">
      <c r="BI127" s="1468"/>
      <c r="BJ127" s="1468"/>
      <c r="BK127" s="1468"/>
      <c r="BL127" s="1468"/>
      <c r="BM127" s="1468"/>
      <c r="BN127" s="1468"/>
      <c r="BO127" s="1468"/>
      <c r="BP127" s="1468"/>
      <c r="BQ127" s="1468"/>
      <c r="BR127" s="1468"/>
      <c r="BS127" s="1468"/>
      <c r="BT127" s="1468"/>
    </row>
    <row r="128" spans="61:72" customFormat="1">
      <c r="BI128" s="1468"/>
      <c r="BJ128" s="1468"/>
      <c r="BK128" s="1468"/>
      <c r="BL128" s="1468"/>
      <c r="BM128" s="1468"/>
      <c r="BN128" s="1468"/>
      <c r="BO128" s="1468"/>
      <c r="BP128" s="1468"/>
      <c r="BQ128" s="1468"/>
      <c r="BR128" s="1468"/>
      <c r="BS128" s="1468"/>
      <c r="BT128" s="1468"/>
    </row>
    <row r="129" spans="61:72" customFormat="1">
      <c r="BI129" s="1468"/>
      <c r="BJ129" s="1468"/>
      <c r="BK129" s="1468"/>
      <c r="BL129" s="1468"/>
      <c r="BM129" s="1468"/>
      <c r="BN129" s="1468"/>
      <c r="BO129" s="1468"/>
      <c r="BP129" s="1468"/>
      <c r="BQ129" s="1468"/>
      <c r="BR129" s="1468"/>
      <c r="BS129" s="1468"/>
      <c r="BT129" s="1468"/>
    </row>
    <row r="130" spans="61:72" customFormat="1">
      <c r="BI130" s="1468"/>
      <c r="BJ130" s="1468"/>
      <c r="BK130" s="1468"/>
      <c r="BL130" s="1468"/>
      <c r="BM130" s="1468"/>
      <c r="BN130" s="1468"/>
      <c r="BO130" s="1468"/>
      <c r="BP130" s="1468"/>
      <c r="BQ130" s="1468"/>
      <c r="BR130" s="1468"/>
      <c r="BS130" s="1468"/>
      <c r="BT130" s="1468"/>
    </row>
    <row r="131" spans="61:72" customFormat="1">
      <c r="BI131" s="1468"/>
      <c r="BJ131" s="1468"/>
      <c r="BK131" s="1468"/>
      <c r="BL131" s="1468"/>
      <c r="BM131" s="1468"/>
      <c r="BN131" s="1468"/>
      <c r="BO131" s="1468"/>
      <c r="BP131" s="1468"/>
      <c r="BQ131" s="1468"/>
      <c r="BR131" s="1468"/>
      <c r="BS131" s="1468"/>
      <c r="BT131" s="1468"/>
    </row>
    <row r="132" spans="61:72" customFormat="1">
      <c r="BI132" s="1468"/>
      <c r="BJ132" s="1468"/>
      <c r="BK132" s="1468"/>
      <c r="BL132" s="1468"/>
      <c r="BM132" s="1468"/>
      <c r="BN132" s="1468"/>
      <c r="BO132" s="1468"/>
      <c r="BP132" s="1468"/>
      <c r="BQ132" s="1468"/>
      <c r="BR132" s="1468"/>
      <c r="BS132" s="1468"/>
      <c r="BT132" s="1468"/>
    </row>
    <row r="133" spans="61:72" customFormat="1">
      <c r="BI133" s="1468"/>
      <c r="BJ133" s="1468"/>
      <c r="BK133" s="1468"/>
      <c r="BL133" s="1468"/>
      <c r="BM133" s="1468"/>
      <c r="BN133" s="1468"/>
      <c r="BO133" s="1468"/>
      <c r="BP133" s="1468"/>
      <c r="BQ133" s="1468"/>
      <c r="BR133" s="1468"/>
      <c r="BS133" s="1468"/>
      <c r="BT133" s="1468"/>
    </row>
    <row r="134" spans="61:72" customFormat="1">
      <c r="BI134" s="1468"/>
      <c r="BJ134" s="1468"/>
      <c r="BK134" s="1468"/>
      <c r="BL134" s="1468"/>
      <c r="BM134" s="1468"/>
      <c r="BN134" s="1468"/>
      <c r="BO134" s="1468"/>
      <c r="BP134" s="1468"/>
      <c r="BQ134" s="1468"/>
      <c r="BR134" s="1468"/>
      <c r="BS134" s="1468"/>
      <c r="BT134" s="1468"/>
    </row>
    <row r="135" spans="61:72" customFormat="1">
      <c r="BI135" s="1468"/>
      <c r="BJ135" s="1468"/>
      <c r="BK135" s="1468"/>
      <c r="BL135" s="1468"/>
      <c r="BM135" s="1468"/>
      <c r="BN135" s="1468"/>
      <c r="BO135" s="1468"/>
      <c r="BP135" s="1468"/>
      <c r="BQ135" s="1468"/>
      <c r="BR135" s="1468"/>
      <c r="BS135" s="1468"/>
      <c r="BT135" s="1468"/>
    </row>
    <row r="136" spans="61:72" customFormat="1">
      <c r="BI136" s="1468"/>
      <c r="BJ136" s="1468"/>
      <c r="BK136" s="1468"/>
      <c r="BL136" s="1468"/>
      <c r="BM136" s="1468"/>
      <c r="BN136" s="1468"/>
      <c r="BO136" s="1468"/>
      <c r="BP136" s="1468"/>
      <c r="BQ136" s="1468"/>
      <c r="BR136" s="1468"/>
      <c r="BS136" s="1468"/>
      <c r="BT136" s="1468"/>
    </row>
    <row r="137" spans="61:72" customFormat="1">
      <c r="BI137" s="1468"/>
      <c r="BJ137" s="1468"/>
      <c r="BK137" s="1468"/>
      <c r="BL137" s="1468"/>
      <c r="BM137" s="1468"/>
      <c r="BN137" s="1468"/>
      <c r="BO137" s="1468"/>
      <c r="BP137" s="1468"/>
      <c r="BQ137" s="1468"/>
      <c r="BR137" s="1468"/>
      <c r="BS137" s="1468"/>
      <c r="BT137" s="1468"/>
    </row>
    <row r="138" spans="61:72" customFormat="1">
      <c r="BI138" s="1468"/>
      <c r="BJ138" s="1468"/>
      <c r="BK138" s="1468"/>
      <c r="BL138" s="1468"/>
      <c r="BM138" s="1468"/>
      <c r="BN138" s="1468"/>
      <c r="BO138" s="1468"/>
      <c r="BP138" s="1468"/>
      <c r="BQ138" s="1468"/>
      <c r="BR138" s="1468"/>
      <c r="BS138" s="1468"/>
      <c r="BT138" s="1468"/>
    </row>
    <row r="139" spans="61:72" customFormat="1">
      <c r="BI139" s="1468"/>
      <c r="BJ139" s="1468"/>
      <c r="BK139" s="1468"/>
      <c r="BL139" s="1468"/>
      <c r="BM139" s="1468"/>
      <c r="BN139" s="1468"/>
      <c r="BO139" s="1468"/>
      <c r="BP139" s="1468"/>
      <c r="BQ139" s="1468"/>
      <c r="BR139" s="1468"/>
      <c r="BS139" s="1468"/>
      <c r="BT139" s="1468"/>
    </row>
    <row r="140" spans="61:72" customFormat="1">
      <c r="BI140" s="1468"/>
      <c r="BJ140" s="1468"/>
      <c r="BK140" s="1468"/>
      <c r="BL140" s="1468"/>
      <c r="BM140" s="1468"/>
      <c r="BN140" s="1468"/>
      <c r="BO140" s="1468"/>
      <c r="BP140" s="1468"/>
      <c r="BQ140" s="1468"/>
      <c r="BR140" s="1468"/>
      <c r="BS140" s="1468"/>
      <c r="BT140" s="1468"/>
    </row>
    <row r="141" spans="61:72" customFormat="1">
      <c r="BI141" s="1468"/>
      <c r="BJ141" s="1468"/>
      <c r="BK141" s="1468"/>
      <c r="BL141" s="1468"/>
      <c r="BM141" s="1468"/>
      <c r="BN141" s="1468"/>
      <c r="BO141" s="1468"/>
      <c r="BP141" s="1468"/>
      <c r="BQ141" s="1468"/>
      <c r="BR141" s="1468"/>
      <c r="BS141" s="1468"/>
      <c r="BT141" s="1468"/>
    </row>
    <row r="142" spans="61:72" customFormat="1">
      <c r="BI142" s="1468"/>
      <c r="BJ142" s="1468"/>
      <c r="BK142" s="1468"/>
      <c r="BL142" s="1468"/>
      <c r="BM142" s="1468"/>
      <c r="BN142" s="1468"/>
      <c r="BO142" s="1468"/>
      <c r="BP142" s="1468"/>
      <c r="BQ142" s="1468"/>
      <c r="BR142" s="1468"/>
      <c r="BS142" s="1468"/>
      <c r="BT142" s="1468"/>
    </row>
    <row r="143" spans="61:72" customFormat="1">
      <c r="BI143" s="1468"/>
      <c r="BJ143" s="1468"/>
      <c r="BK143" s="1468"/>
      <c r="BL143" s="1468"/>
      <c r="BM143" s="1468"/>
      <c r="BN143" s="1468"/>
      <c r="BO143" s="1468"/>
      <c r="BP143" s="1468"/>
      <c r="BQ143" s="1468"/>
      <c r="BR143" s="1468"/>
      <c r="BS143" s="1468"/>
      <c r="BT143" s="1468"/>
    </row>
    <row r="144" spans="61:72" customFormat="1">
      <c r="BI144" s="1468"/>
      <c r="BJ144" s="1468"/>
      <c r="BK144" s="1468"/>
      <c r="BL144" s="1468"/>
      <c r="BM144" s="1468"/>
      <c r="BN144" s="1468"/>
      <c r="BO144" s="1468"/>
      <c r="BP144" s="1468"/>
      <c r="BQ144" s="1468"/>
      <c r="BR144" s="1468"/>
      <c r="BS144" s="1468"/>
      <c r="BT144" s="1468"/>
    </row>
    <row r="145" spans="61:72" customFormat="1">
      <c r="BI145" s="1468"/>
      <c r="BJ145" s="1468"/>
      <c r="BK145" s="1468"/>
      <c r="BL145" s="1468"/>
      <c r="BM145" s="1468"/>
      <c r="BN145" s="1468"/>
      <c r="BO145" s="1468"/>
      <c r="BP145" s="1468"/>
      <c r="BQ145" s="1468"/>
      <c r="BR145" s="1468"/>
      <c r="BS145" s="1468"/>
      <c r="BT145" s="1468"/>
    </row>
    <row r="146" spans="61:72" customFormat="1">
      <c r="BI146" s="1468"/>
      <c r="BJ146" s="1468"/>
      <c r="BK146" s="1468"/>
      <c r="BL146" s="1468"/>
      <c r="BM146" s="1468"/>
      <c r="BN146" s="1468"/>
      <c r="BO146" s="1468"/>
      <c r="BP146" s="1468"/>
      <c r="BQ146" s="1468"/>
      <c r="BR146" s="1468"/>
      <c r="BS146" s="1468"/>
      <c r="BT146" s="1468"/>
    </row>
    <row r="147" spans="61:72" customFormat="1">
      <c r="BI147" s="1468"/>
      <c r="BJ147" s="1468"/>
      <c r="BK147" s="1468"/>
      <c r="BL147" s="1468"/>
      <c r="BM147" s="1468"/>
      <c r="BN147" s="1468"/>
      <c r="BO147" s="1468"/>
      <c r="BP147" s="1468"/>
      <c r="BQ147" s="1468"/>
      <c r="BR147" s="1468"/>
      <c r="BS147" s="1468"/>
      <c r="BT147" s="1468"/>
    </row>
    <row r="148" spans="61:72" customFormat="1">
      <c r="BI148" s="1468"/>
      <c r="BJ148" s="1468"/>
      <c r="BK148" s="1468"/>
      <c r="BL148" s="1468"/>
      <c r="BM148" s="1468"/>
      <c r="BN148" s="1468"/>
      <c r="BO148" s="1468"/>
      <c r="BP148" s="1468"/>
      <c r="BQ148" s="1468"/>
      <c r="BR148" s="1468"/>
      <c r="BS148" s="1468"/>
      <c r="BT148" s="1468"/>
    </row>
    <row r="149" spans="61:72" customFormat="1">
      <c r="BI149" s="1468"/>
      <c r="BJ149" s="1468"/>
      <c r="BK149" s="1468"/>
      <c r="BL149" s="1468"/>
      <c r="BM149" s="1468"/>
      <c r="BN149" s="1468"/>
      <c r="BO149" s="1468"/>
      <c r="BP149" s="1468"/>
      <c r="BQ149" s="1468"/>
      <c r="BR149" s="1468"/>
      <c r="BS149" s="1468"/>
      <c r="BT149" s="1468"/>
    </row>
    <row r="150" spans="61:72" customFormat="1">
      <c r="BI150" s="1468"/>
      <c r="BJ150" s="1468"/>
      <c r="BK150" s="1468"/>
      <c r="BL150" s="1468"/>
      <c r="BM150" s="1468"/>
      <c r="BN150" s="1468"/>
      <c r="BO150" s="1468"/>
      <c r="BP150" s="1468"/>
      <c r="BQ150" s="1468"/>
      <c r="BR150" s="1468"/>
      <c r="BS150" s="1468"/>
      <c r="BT150" s="1468"/>
    </row>
    <row r="151" spans="61:72" customFormat="1">
      <c r="BI151" s="1468"/>
      <c r="BJ151" s="1468"/>
      <c r="BK151" s="1468"/>
      <c r="BL151" s="1468"/>
      <c r="BM151" s="1468"/>
      <c r="BN151" s="1468"/>
      <c r="BO151" s="1468"/>
      <c r="BP151" s="1468"/>
      <c r="BQ151" s="1468"/>
      <c r="BR151" s="1468"/>
      <c r="BS151" s="1468"/>
      <c r="BT151" s="1468"/>
    </row>
    <row r="152" spans="61:72" customFormat="1">
      <c r="BI152" s="1468"/>
      <c r="BJ152" s="1468"/>
      <c r="BK152" s="1468"/>
      <c r="BL152" s="1468"/>
      <c r="BM152" s="1468"/>
      <c r="BN152" s="1468"/>
      <c r="BO152" s="1468"/>
      <c r="BP152" s="1468"/>
      <c r="BQ152" s="1468"/>
      <c r="BR152" s="1468"/>
      <c r="BS152" s="1468"/>
      <c r="BT152" s="1468"/>
    </row>
    <row r="153" spans="61:72" customFormat="1">
      <c r="BI153" s="1468"/>
      <c r="BJ153" s="1468"/>
      <c r="BK153" s="1468"/>
      <c r="BL153" s="1468"/>
      <c r="BM153" s="1468"/>
      <c r="BN153" s="1468"/>
      <c r="BO153" s="1468"/>
      <c r="BP153" s="1468"/>
      <c r="BQ153" s="1468"/>
      <c r="BR153" s="1468"/>
      <c r="BS153" s="1468"/>
      <c r="BT153" s="1468"/>
    </row>
    <row r="154" spans="61:72" customFormat="1">
      <c r="BI154" s="1468"/>
      <c r="BJ154" s="1468"/>
      <c r="BK154" s="1468"/>
      <c r="BL154" s="1468"/>
      <c r="BM154" s="1468"/>
      <c r="BN154" s="1468"/>
      <c r="BO154" s="1468"/>
      <c r="BP154" s="1468"/>
      <c r="BQ154" s="1468"/>
      <c r="BR154" s="1468"/>
      <c r="BS154" s="1468"/>
      <c r="BT154" s="1468"/>
    </row>
    <row r="155" spans="61:72" customFormat="1">
      <c r="BI155" s="1468"/>
      <c r="BJ155" s="1468"/>
      <c r="BK155" s="1468"/>
      <c r="BL155" s="1468"/>
      <c r="BM155" s="1468"/>
      <c r="BN155" s="1468"/>
      <c r="BO155" s="1468"/>
      <c r="BP155" s="1468"/>
      <c r="BQ155" s="1468"/>
      <c r="BR155" s="1468"/>
      <c r="BS155" s="1468"/>
      <c r="BT155" s="1468"/>
    </row>
    <row r="156" spans="61:72" customFormat="1">
      <c r="BI156" s="1468"/>
      <c r="BJ156" s="1468"/>
      <c r="BK156" s="1468"/>
      <c r="BL156" s="1468"/>
      <c r="BM156" s="1468"/>
      <c r="BN156" s="1468"/>
      <c r="BO156" s="1468"/>
      <c r="BP156" s="1468"/>
      <c r="BQ156" s="1468"/>
      <c r="BR156" s="1468"/>
      <c r="BS156" s="1468"/>
      <c r="BT156" s="1468"/>
    </row>
    <row r="157" spans="61:72" customFormat="1">
      <c r="BI157" s="1468"/>
      <c r="BJ157" s="1468"/>
      <c r="BK157" s="1468"/>
      <c r="BL157" s="1468"/>
      <c r="BM157" s="1468"/>
      <c r="BN157" s="1468"/>
      <c r="BO157" s="1468"/>
      <c r="BP157" s="1468"/>
      <c r="BQ157" s="1468"/>
      <c r="BR157" s="1468"/>
      <c r="BS157" s="1468"/>
      <c r="BT157" s="1468"/>
    </row>
    <row r="158" spans="61:72" customFormat="1">
      <c r="BI158" s="1468"/>
      <c r="BJ158" s="1468"/>
      <c r="BK158" s="1468"/>
      <c r="BL158" s="1468"/>
      <c r="BM158" s="1468"/>
      <c r="BN158" s="1468"/>
      <c r="BO158" s="1468"/>
      <c r="BP158" s="1468"/>
      <c r="BQ158" s="1468"/>
      <c r="BR158" s="1468"/>
      <c r="BS158" s="1468"/>
      <c r="BT158" s="1468"/>
    </row>
    <row r="159" spans="61:72" customFormat="1">
      <c r="BI159" s="1468"/>
      <c r="BJ159" s="1468"/>
      <c r="BK159" s="1468"/>
      <c r="BL159" s="1468"/>
      <c r="BM159" s="1468"/>
      <c r="BN159" s="1468"/>
      <c r="BO159" s="1468"/>
      <c r="BP159" s="1468"/>
      <c r="BQ159" s="1468"/>
      <c r="BR159" s="1468"/>
      <c r="BS159" s="1468"/>
      <c r="BT159" s="1468"/>
    </row>
    <row r="160" spans="61:72" customFormat="1">
      <c r="BI160" s="1468"/>
      <c r="BJ160" s="1468"/>
      <c r="BK160" s="1468"/>
      <c r="BL160" s="1468"/>
      <c r="BM160" s="1468"/>
      <c r="BN160" s="1468"/>
      <c r="BO160" s="1468"/>
      <c r="BP160" s="1468"/>
      <c r="BQ160" s="1468"/>
      <c r="BR160" s="1468"/>
      <c r="BS160" s="1468"/>
      <c r="BT160" s="1468"/>
    </row>
    <row r="161" spans="61:72" customFormat="1">
      <c r="BI161" s="1468"/>
      <c r="BJ161" s="1468"/>
      <c r="BK161" s="1468"/>
      <c r="BL161" s="1468"/>
      <c r="BM161" s="1468"/>
      <c r="BN161" s="1468"/>
      <c r="BO161" s="1468"/>
      <c r="BP161" s="1468"/>
      <c r="BQ161" s="1468"/>
      <c r="BR161" s="1468"/>
      <c r="BS161" s="1468"/>
      <c r="BT161" s="1468"/>
    </row>
    <row r="162" spans="61:72" customFormat="1">
      <c r="BI162" s="1468"/>
      <c r="BJ162" s="1468"/>
      <c r="BK162" s="1468"/>
      <c r="BL162" s="1468"/>
      <c r="BM162" s="1468"/>
      <c r="BN162" s="1468"/>
      <c r="BO162" s="1468"/>
      <c r="BP162" s="1468"/>
      <c r="BQ162" s="1468"/>
      <c r="BR162" s="1468"/>
      <c r="BS162" s="1468"/>
      <c r="BT162" s="1468"/>
    </row>
    <row r="163" spans="61:72" customFormat="1">
      <c r="BI163" s="1468"/>
      <c r="BJ163" s="1468"/>
      <c r="BK163" s="1468"/>
      <c r="BL163" s="1468"/>
      <c r="BM163" s="1468"/>
      <c r="BN163" s="1468"/>
      <c r="BO163" s="1468"/>
      <c r="BP163" s="1468"/>
      <c r="BQ163" s="1468"/>
      <c r="BR163" s="1468"/>
      <c r="BS163" s="1468"/>
      <c r="BT163" s="1468"/>
    </row>
    <row r="164" spans="61:72" customFormat="1">
      <c r="BI164" s="1468"/>
      <c r="BJ164" s="1468"/>
      <c r="BK164" s="1468"/>
      <c r="BL164" s="1468"/>
      <c r="BM164" s="1468"/>
      <c r="BN164" s="1468"/>
      <c r="BO164" s="1468"/>
      <c r="BP164" s="1468"/>
      <c r="BQ164" s="1468"/>
      <c r="BR164" s="1468"/>
      <c r="BS164" s="1468"/>
      <c r="BT164" s="1468"/>
    </row>
    <row r="165" spans="61:72" customFormat="1">
      <c r="BI165" s="1468"/>
      <c r="BJ165" s="1468"/>
      <c r="BK165" s="1468"/>
      <c r="BL165" s="1468"/>
      <c r="BM165" s="1468"/>
      <c r="BN165" s="1468"/>
      <c r="BO165" s="1468"/>
      <c r="BP165" s="1468"/>
      <c r="BQ165" s="1468"/>
      <c r="BR165" s="1468"/>
      <c r="BS165" s="1468"/>
      <c r="BT165" s="1468"/>
    </row>
    <row r="166" spans="61:72" customFormat="1">
      <c r="BI166" s="1468"/>
      <c r="BJ166" s="1468"/>
      <c r="BK166" s="1468"/>
      <c r="BL166" s="1468"/>
      <c r="BM166" s="1468"/>
      <c r="BN166" s="1468"/>
      <c r="BO166" s="1468"/>
      <c r="BP166" s="1468"/>
      <c r="BQ166" s="1468"/>
      <c r="BR166" s="1468"/>
      <c r="BS166" s="1468"/>
      <c r="BT166" s="1468"/>
    </row>
    <row r="167" spans="61:72" customFormat="1">
      <c r="BI167" s="1468"/>
      <c r="BJ167" s="1468"/>
      <c r="BK167" s="1468"/>
      <c r="BL167" s="1468"/>
      <c r="BM167" s="1468"/>
      <c r="BN167" s="1468"/>
      <c r="BO167" s="1468"/>
      <c r="BP167" s="1468"/>
      <c r="BQ167" s="1468"/>
      <c r="BR167" s="1468"/>
      <c r="BS167" s="1468"/>
      <c r="BT167" s="1468"/>
    </row>
    <row r="168" spans="61:72" customFormat="1">
      <c r="BI168" s="1468"/>
      <c r="BJ168" s="1468"/>
      <c r="BK168" s="1468"/>
      <c r="BL168" s="1468"/>
      <c r="BM168" s="1468"/>
      <c r="BN168" s="1468"/>
      <c r="BO168" s="1468"/>
      <c r="BP168" s="1468"/>
      <c r="BQ168" s="1468"/>
      <c r="BR168" s="1468"/>
      <c r="BS168" s="1468"/>
      <c r="BT168" s="1468"/>
    </row>
    <row r="169" spans="61:72" customFormat="1">
      <c r="BI169" s="1468"/>
      <c r="BJ169" s="1468"/>
      <c r="BK169" s="1468"/>
      <c r="BL169" s="1468"/>
      <c r="BM169" s="1468"/>
      <c r="BN169" s="1468"/>
      <c r="BO169" s="1468"/>
      <c r="BP169" s="1468"/>
      <c r="BQ169" s="1468"/>
      <c r="BR169" s="1468"/>
      <c r="BS169" s="1468"/>
      <c r="BT169" s="1468"/>
    </row>
    <row r="170" spans="61:72" customFormat="1">
      <c r="BI170" s="1468"/>
      <c r="BJ170" s="1468"/>
      <c r="BK170" s="1468"/>
      <c r="BL170" s="1468"/>
      <c r="BM170" s="1468"/>
      <c r="BN170" s="1468"/>
      <c r="BO170" s="1468"/>
      <c r="BP170" s="1468"/>
      <c r="BQ170" s="1468"/>
      <c r="BR170" s="1468"/>
      <c r="BS170" s="1468"/>
      <c r="BT170" s="1468"/>
    </row>
    <row r="171" spans="61:72" customFormat="1">
      <c r="BI171" s="1468"/>
      <c r="BJ171" s="1468"/>
      <c r="BK171" s="1468"/>
      <c r="BL171" s="1468"/>
      <c r="BM171" s="1468"/>
      <c r="BN171" s="1468"/>
      <c r="BO171" s="1468"/>
      <c r="BP171" s="1468"/>
      <c r="BQ171" s="1468"/>
      <c r="BR171" s="1468"/>
      <c r="BS171" s="1468"/>
      <c r="BT171" s="1468"/>
    </row>
    <row r="172" spans="61:72" customFormat="1">
      <c r="BI172" s="1468"/>
      <c r="BJ172" s="1468"/>
      <c r="BK172" s="1468"/>
      <c r="BL172" s="1468"/>
      <c r="BM172" s="1468"/>
      <c r="BN172" s="1468"/>
      <c r="BO172" s="1468"/>
      <c r="BP172" s="1468"/>
      <c r="BQ172" s="1468"/>
      <c r="BR172" s="1468"/>
      <c r="BS172" s="1468"/>
      <c r="BT172" s="1468"/>
    </row>
    <row r="173" spans="61:72" customFormat="1">
      <c r="BI173" s="1468"/>
      <c r="BJ173" s="1468"/>
      <c r="BK173" s="1468"/>
      <c r="BL173" s="1468"/>
      <c r="BM173" s="1468"/>
      <c r="BN173" s="1468"/>
      <c r="BO173" s="1468"/>
      <c r="BP173" s="1468"/>
      <c r="BQ173" s="1468"/>
      <c r="BR173" s="1468"/>
      <c r="BS173" s="1468"/>
      <c r="BT173" s="1468"/>
    </row>
    <row r="174" spans="61:72" customFormat="1">
      <c r="BI174" s="1468"/>
      <c r="BJ174" s="1468"/>
      <c r="BK174" s="1468"/>
      <c r="BL174" s="1468"/>
      <c r="BM174" s="1468"/>
      <c r="BN174" s="1468"/>
      <c r="BO174" s="1468"/>
      <c r="BP174" s="1468"/>
      <c r="BQ174" s="1468"/>
      <c r="BR174" s="1468"/>
      <c r="BS174" s="1468"/>
      <c r="BT174" s="1468"/>
    </row>
    <row r="175" spans="61:72" customFormat="1">
      <c r="BI175" s="1468"/>
      <c r="BJ175" s="1468"/>
      <c r="BK175" s="1468"/>
      <c r="BL175" s="1468"/>
      <c r="BM175" s="1468"/>
      <c r="BN175" s="1468"/>
      <c r="BO175" s="1468"/>
      <c r="BP175" s="1468"/>
      <c r="BQ175" s="1468"/>
      <c r="BR175" s="1468"/>
      <c r="BS175" s="1468"/>
      <c r="BT175" s="1468"/>
    </row>
    <row r="176" spans="61:72" customFormat="1">
      <c r="BI176" s="1468"/>
      <c r="BJ176" s="1468"/>
      <c r="BK176" s="1468"/>
      <c r="BL176" s="1468"/>
      <c r="BM176" s="1468"/>
      <c r="BN176" s="1468"/>
      <c r="BO176" s="1468"/>
      <c r="BP176" s="1468"/>
      <c r="BQ176" s="1468"/>
      <c r="BR176" s="1468"/>
      <c r="BS176" s="1468"/>
      <c r="BT176" s="1468"/>
    </row>
    <row r="177" spans="61:72" customFormat="1">
      <c r="BI177" s="1468"/>
      <c r="BJ177" s="1468"/>
      <c r="BK177" s="1468"/>
      <c r="BL177" s="1468"/>
      <c r="BM177" s="1468"/>
      <c r="BN177" s="1468"/>
      <c r="BO177" s="1468"/>
      <c r="BP177" s="1468"/>
      <c r="BQ177" s="1468"/>
      <c r="BR177" s="1468"/>
      <c r="BS177" s="1468"/>
      <c r="BT177" s="1468"/>
    </row>
    <row r="178" spans="61:72" customFormat="1">
      <c r="BI178" s="1468"/>
      <c r="BJ178" s="1468"/>
      <c r="BK178" s="1468"/>
      <c r="BL178" s="1468"/>
      <c r="BM178" s="1468"/>
      <c r="BN178" s="1468"/>
      <c r="BO178" s="1468"/>
      <c r="BP178" s="1468"/>
      <c r="BQ178" s="1468"/>
      <c r="BR178" s="1468"/>
      <c r="BS178" s="1468"/>
      <c r="BT178" s="1468"/>
    </row>
    <row r="179" spans="61:72" customFormat="1">
      <c r="BI179" s="1468"/>
      <c r="BJ179" s="1468"/>
      <c r="BK179" s="1468"/>
      <c r="BL179" s="1468"/>
      <c r="BM179" s="1468"/>
      <c r="BN179" s="1468"/>
      <c r="BO179" s="1468"/>
      <c r="BP179" s="1468"/>
      <c r="BQ179" s="1468"/>
      <c r="BR179" s="1468"/>
      <c r="BS179" s="1468"/>
      <c r="BT179" s="1468"/>
    </row>
    <row r="180" spans="61:72" customFormat="1">
      <c r="BI180" s="1468"/>
      <c r="BJ180" s="1468"/>
      <c r="BK180" s="1468"/>
      <c r="BL180" s="1468"/>
      <c r="BM180" s="1468"/>
      <c r="BN180" s="1468"/>
      <c r="BO180" s="1468"/>
      <c r="BP180" s="1468"/>
      <c r="BQ180" s="1468"/>
      <c r="BR180" s="1468"/>
      <c r="BS180" s="1468"/>
      <c r="BT180" s="1468"/>
    </row>
    <row r="181" spans="61:72" customFormat="1">
      <c r="BI181" s="1468"/>
      <c r="BJ181" s="1468"/>
      <c r="BK181" s="1468"/>
      <c r="BL181" s="1468"/>
      <c r="BM181" s="1468"/>
      <c r="BN181" s="1468"/>
      <c r="BO181" s="1468"/>
      <c r="BP181" s="1468"/>
      <c r="BQ181" s="1468"/>
      <c r="BR181" s="1468"/>
      <c r="BS181" s="1468"/>
      <c r="BT181" s="1468"/>
    </row>
    <row r="182" spans="61:72" customFormat="1">
      <c r="BI182" s="1468"/>
      <c r="BJ182" s="1468"/>
      <c r="BK182" s="1468"/>
      <c r="BL182" s="1468"/>
      <c r="BM182" s="1468"/>
      <c r="BN182" s="1468"/>
      <c r="BO182" s="1468"/>
      <c r="BP182" s="1468"/>
      <c r="BQ182" s="1468"/>
      <c r="BR182" s="1468"/>
      <c r="BS182" s="1468"/>
      <c r="BT182" s="1468"/>
    </row>
    <row r="183" spans="61:72" customFormat="1">
      <c r="BI183" s="1468"/>
      <c r="BJ183" s="1468"/>
      <c r="BK183" s="1468"/>
      <c r="BL183" s="1468"/>
      <c r="BM183" s="1468"/>
      <c r="BN183" s="1468"/>
      <c r="BO183" s="1468"/>
      <c r="BP183" s="1468"/>
      <c r="BQ183" s="1468"/>
      <c r="BR183" s="1468"/>
      <c r="BS183" s="1468"/>
      <c r="BT183" s="1468"/>
    </row>
    <row r="184" spans="61:72" customFormat="1">
      <c r="BI184" s="1468"/>
      <c r="BJ184" s="1468"/>
      <c r="BK184" s="1468"/>
      <c r="BL184" s="1468"/>
      <c r="BM184" s="1468"/>
      <c r="BN184" s="1468"/>
      <c r="BO184" s="1468"/>
      <c r="BP184" s="1468"/>
      <c r="BQ184" s="1468"/>
      <c r="BR184" s="1468"/>
      <c r="BS184" s="1468"/>
      <c r="BT184" s="1468"/>
    </row>
    <row r="185" spans="61:72" customFormat="1">
      <c r="BI185" s="1468"/>
      <c r="BJ185" s="1468"/>
      <c r="BK185" s="1468"/>
      <c r="BL185" s="1468"/>
      <c r="BM185" s="1468"/>
      <c r="BN185" s="1468"/>
      <c r="BO185" s="1468"/>
      <c r="BP185" s="1468"/>
      <c r="BQ185" s="1468"/>
      <c r="BR185" s="1468"/>
      <c r="BS185" s="1468"/>
      <c r="BT185" s="1468"/>
    </row>
    <row r="186" spans="61:72" customFormat="1">
      <c r="BI186" s="1468"/>
      <c r="BJ186" s="1468"/>
      <c r="BK186" s="1468"/>
      <c r="BL186" s="1468"/>
      <c r="BM186" s="1468"/>
      <c r="BN186" s="1468"/>
      <c r="BO186" s="1468"/>
      <c r="BP186" s="1468"/>
      <c r="BQ186" s="1468"/>
      <c r="BR186" s="1468"/>
      <c r="BS186" s="1468"/>
      <c r="BT186" s="1468"/>
    </row>
    <row r="187" spans="61:72" customFormat="1">
      <c r="BI187" s="1468"/>
      <c r="BJ187" s="1468"/>
      <c r="BK187" s="1468"/>
      <c r="BL187" s="1468"/>
      <c r="BM187" s="1468"/>
      <c r="BN187" s="1468"/>
      <c r="BO187" s="1468"/>
      <c r="BP187" s="1468"/>
      <c r="BQ187" s="1468"/>
      <c r="BR187" s="1468"/>
      <c r="BS187" s="1468"/>
      <c r="BT187" s="1468"/>
    </row>
    <row r="188" spans="61:72" customFormat="1">
      <c r="BI188" s="1468"/>
      <c r="BJ188" s="1468"/>
      <c r="BK188" s="1468"/>
      <c r="BL188" s="1468"/>
      <c r="BM188" s="1468"/>
      <c r="BN188" s="1468"/>
      <c r="BO188" s="1468"/>
      <c r="BP188" s="1468"/>
      <c r="BQ188" s="1468"/>
      <c r="BR188" s="1468"/>
      <c r="BS188" s="1468"/>
      <c r="BT188" s="1468"/>
    </row>
    <row r="189" spans="61:72" customFormat="1">
      <c r="BI189" s="1468"/>
      <c r="BJ189" s="1468"/>
      <c r="BK189" s="1468"/>
      <c r="BL189" s="1468"/>
      <c r="BM189" s="1468"/>
      <c r="BN189" s="1468"/>
      <c r="BO189" s="1468"/>
      <c r="BP189" s="1468"/>
      <c r="BQ189" s="1468"/>
      <c r="BR189" s="1468"/>
      <c r="BS189" s="1468"/>
      <c r="BT189" s="1468"/>
    </row>
    <row r="190" spans="61:72" customFormat="1">
      <c r="BI190" s="1468"/>
      <c r="BJ190" s="1468"/>
      <c r="BK190" s="1468"/>
      <c r="BL190" s="1468"/>
      <c r="BM190" s="1468"/>
      <c r="BN190" s="1468"/>
      <c r="BO190" s="1468"/>
      <c r="BP190" s="1468"/>
      <c r="BQ190" s="1468"/>
      <c r="BR190" s="1468"/>
      <c r="BS190" s="1468"/>
      <c r="BT190" s="1468"/>
    </row>
    <row r="191" spans="61:72" customFormat="1">
      <c r="BI191" s="1468"/>
      <c r="BJ191" s="1468"/>
      <c r="BK191" s="1468"/>
      <c r="BL191" s="1468"/>
      <c r="BM191" s="1468"/>
      <c r="BN191" s="1468"/>
      <c r="BO191" s="1468"/>
      <c r="BP191" s="1468"/>
      <c r="BQ191" s="1468"/>
      <c r="BR191" s="1468"/>
      <c r="BS191" s="1468"/>
      <c r="BT191" s="1468"/>
    </row>
    <row r="192" spans="61:72" customFormat="1">
      <c r="BI192" s="1468"/>
      <c r="BJ192" s="1468"/>
      <c r="BK192" s="1468"/>
      <c r="BL192" s="1468"/>
      <c r="BM192" s="1468"/>
      <c r="BN192" s="1468"/>
      <c r="BO192" s="1468"/>
      <c r="BP192" s="1468"/>
      <c r="BQ192" s="1468"/>
      <c r="BR192" s="1468"/>
      <c r="BS192" s="1468"/>
      <c r="BT192" s="1468"/>
    </row>
    <row r="193" spans="61:72" customFormat="1">
      <c r="BI193" s="1468"/>
      <c r="BJ193" s="1468"/>
      <c r="BK193" s="1468"/>
      <c r="BL193" s="1468"/>
      <c r="BM193" s="1468"/>
      <c r="BN193" s="1468"/>
      <c r="BO193" s="1468"/>
      <c r="BP193" s="1468"/>
      <c r="BQ193" s="1468"/>
      <c r="BR193" s="1468"/>
      <c r="BS193" s="1468"/>
      <c r="BT193" s="1468"/>
    </row>
    <row r="194" spans="61:72" customFormat="1">
      <c r="BI194" s="1468"/>
      <c r="BJ194" s="1468"/>
      <c r="BK194" s="1468"/>
      <c r="BL194" s="1468"/>
      <c r="BM194" s="1468"/>
      <c r="BN194" s="1468"/>
      <c r="BO194" s="1468"/>
      <c r="BP194" s="1468"/>
      <c r="BQ194" s="1468"/>
      <c r="BR194" s="1468"/>
      <c r="BS194" s="1468"/>
      <c r="BT194" s="1468"/>
    </row>
    <row r="195" spans="61:72" customFormat="1">
      <c r="BI195" s="1468"/>
      <c r="BJ195" s="1468"/>
      <c r="BK195" s="1468"/>
      <c r="BL195" s="1468"/>
      <c r="BM195" s="1468"/>
      <c r="BN195" s="1468"/>
      <c r="BO195" s="1468"/>
      <c r="BP195" s="1468"/>
      <c r="BQ195" s="1468"/>
      <c r="BR195" s="1468"/>
      <c r="BS195" s="1468"/>
      <c r="BT195" s="1468"/>
    </row>
    <row r="196" spans="61:72" customFormat="1">
      <c r="BI196" s="1468"/>
      <c r="BJ196" s="1468"/>
      <c r="BK196" s="1468"/>
      <c r="BL196" s="1468"/>
      <c r="BM196" s="1468"/>
      <c r="BN196" s="1468"/>
      <c r="BO196" s="1468"/>
      <c r="BP196" s="1468"/>
      <c r="BQ196" s="1468"/>
      <c r="BR196" s="1468"/>
      <c r="BS196" s="1468"/>
      <c r="BT196" s="1468"/>
    </row>
    <row r="197" spans="61:72" customFormat="1">
      <c r="BI197" s="1468"/>
      <c r="BJ197" s="1468"/>
      <c r="BK197" s="1468"/>
      <c r="BL197" s="1468"/>
      <c r="BM197" s="1468"/>
      <c r="BN197" s="1468"/>
      <c r="BO197" s="1468"/>
      <c r="BP197" s="1468"/>
      <c r="BQ197" s="1468"/>
      <c r="BR197" s="1468"/>
      <c r="BS197" s="1468"/>
      <c r="BT197" s="1468"/>
    </row>
    <row r="198" spans="61:72" customFormat="1">
      <c r="BI198" s="1468"/>
      <c r="BJ198" s="1468"/>
      <c r="BK198" s="1468"/>
      <c r="BL198" s="1468"/>
      <c r="BM198" s="1468"/>
      <c r="BN198" s="1468"/>
      <c r="BO198" s="1468"/>
      <c r="BP198" s="1468"/>
      <c r="BQ198" s="1468"/>
      <c r="BR198" s="1468"/>
      <c r="BS198" s="1468"/>
      <c r="BT198" s="1468"/>
    </row>
    <row r="199" spans="61:72" customFormat="1">
      <c r="BI199" s="1468"/>
      <c r="BJ199" s="1468"/>
      <c r="BK199" s="1468"/>
      <c r="BL199" s="1468"/>
      <c r="BM199" s="1468"/>
      <c r="BN199" s="1468"/>
      <c r="BO199" s="1468"/>
      <c r="BP199" s="1468"/>
      <c r="BQ199" s="1468"/>
      <c r="BR199" s="1468"/>
      <c r="BS199" s="1468"/>
      <c r="BT199" s="1468"/>
    </row>
    <row r="200" spans="61:72" customFormat="1">
      <c r="BI200" s="1468"/>
      <c r="BJ200" s="1468"/>
      <c r="BK200" s="1468"/>
      <c r="BL200" s="1468"/>
      <c r="BM200" s="1468"/>
      <c r="BN200" s="1468"/>
      <c r="BO200" s="1468"/>
      <c r="BP200" s="1468"/>
      <c r="BQ200" s="1468"/>
      <c r="BR200" s="1468"/>
      <c r="BS200" s="1468"/>
      <c r="BT200" s="1468"/>
    </row>
    <row r="201" spans="61:72" customFormat="1">
      <c r="BI201" s="1468"/>
      <c r="BJ201" s="1468"/>
      <c r="BK201" s="1468"/>
      <c r="BL201" s="1468"/>
      <c r="BM201" s="1468"/>
      <c r="BN201" s="1468"/>
      <c r="BO201" s="1468"/>
      <c r="BP201" s="1468"/>
      <c r="BQ201" s="1468"/>
      <c r="BR201" s="1468"/>
      <c r="BS201" s="1468"/>
      <c r="BT201" s="1468"/>
    </row>
    <row r="202" spans="61:72" customFormat="1">
      <c r="BI202" s="1468"/>
      <c r="BJ202" s="1468"/>
      <c r="BK202" s="1468"/>
      <c r="BL202" s="1468"/>
      <c r="BM202" s="1468"/>
      <c r="BN202" s="1468"/>
      <c r="BO202" s="1468"/>
      <c r="BP202" s="1468"/>
      <c r="BQ202" s="1468"/>
      <c r="BR202" s="1468"/>
      <c r="BS202" s="1468"/>
      <c r="BT202" s="1468"/>
    </row>
    <row r="203" spans="61:72" customFormat="1">
      <c r="BI203" s="1468"/>
      <c r="BJ203" s="1468"/>
      <c r="BK203" s="1468"/>
      <c r="BL203" s="1468"/>
      <c r="BM203" s="1468"/>
      <c r="BN203" s="1468"/>
      <c r="BO203" s="1468"/>
      <c r="BP203" s="1468"/>
      <c r="BQ203" s="1468"/>
      <c r="BR203" s="1468"/>
      <c r="BS203" s="1468"/>
      <c r="BT203" s="1468"/>
    </row>
    <row r="204" spans="61:72" customFormat="1">
      <c r="BI204" s="1468"/>
      <c r="BJ204" s="1468"/>
      <c r="BK204" s="1468"/>
      <c r="BL204" s="1468"/>
      <c r="BM204" s="1468"/>
      <c r="BN204" s="1468"/>
      <c r="BO204" s="1468"/>
      <c r="BP204" s="1468"/>
      <c r="BQ204" s="1468"/>
      <c r="BR204" s="1468"/>
      <c r="BS204" s="1468"/>
      <c r="BT204" s="1468"/>
    </row>
    <row r="205" spans="61:72" customFormat="1">
      <c r="BI205" s="1468"/>
      <c r="BJ205" s="1468"/>
      <c r="BK205" s="1468"/>
      <c r="BL205" s="1468"/>
      <c r="BM205" s="1468"/>
      <c r="BN205" s="1468"/>
      <c r="BO205" s="1468"/>
      <c r="BP205" s="1468"/>
      <c r="BQ205" s="1468"/>
      <c r="BR205" s="1468"/>
      <c r="BS205" s="1468"/>
      <c r="BT205" s="1468"/>
    </row>
    <row r="206" spans="61:72" customFormat="1">
      <c r="BI206" s="1468"/>
      <c r="BJ206" s="1468"/>
      <c r="BK206" s="1468"/>
      <c r="BL206" s="1468"/>
      <c r="BM206" s="1468"/>
      <c r="BN206" s="1468"/>
      <c r="BO206" s="1468"/>
      <c r="BP206" s="1468"/>
      <c r="BQ206" s="1468"/>
      <c r="BR206" s="1468"/>
      <c r="BS206" s="1468"/>
      <c r="BT206" s="1468"/>
    </row>
    <row r="207" spans="61:72" customFormat="1">
      <c r="BI207" s="1468"/>
      <c r="BJ207" s="1468"/>
      <c r="BK207" s="1468"/>
      <c r="BL207" s="1468"/>
      <c r="BM207" s="1468"/>
      <c r="BN207" s="1468"/>
      <c r="BO207" s="1468"/>
      <c r="BP207" s="1468"/>
      <c r="BQ207" s="1468"/>
      <c r="BR207" s="1468"/>
      <c r="BS207" s="1468"/>
      <c r="BT207" s="1468"/>
    </row>
    <row r="208" spans="61:72" customFormat="1">
      <c r="BI208" s="1468"/>
      <c r="BJ208" s="1468"/>
      <c r="BK208" s="1468"/>
      <c r="BL208" s="1468"/>
      <c r="BM208" s="1468"/>
      <c r="BN208" s="1468"/>
      <c r="BO208" s="1468"/>
      <c r="BP208" s="1468"/>
      <c r="BQ208" s="1468"/>
      <c r="BR208" s="1468"/>
      <c r="BS208" s="1468"/>
      <c r="BT208" s="1468"/>
    </row>
    <row r="209" spans="61:72" customFormat="1">
      <c r="BI209" s="1468"/>
      <c r="BJ209" s="1468"/>
      <c r="BK209" s="1468"/>
      <c r="BL209" s="1468"/>
      <c r="BM209" s="1468"/>
      <c r="BN209" s="1468"/>
      <c r="BO209" s="1468"/>
      <c r="BP209" s="1468"/>
      <c r="BQ209" s="1468"/>
      <c r="BR209" s="1468"/>
      <c r="BS209" s="1468"/>
      <c r="BT209" s="1468"/>
    </row>
    <row r="210" spans="61:72" customFormat="1">
      <c r="BI210" s="1468"/>
      <c r="BJ210" s="1468"/>
      <c r="BK210" s="1468"/>
      <c r="BL210" s="1468"/>
      <c r="BM210" s="1468"/>
      <c r="BN210" s="1468"/>
      <c r="BO210" s="1468"/>
      <c r="BP210" s="1468"/>
      <c r="BQ210" s="1468"/>
      <c r="BR210" s="1468"/>
      <c r="BS210" s="1468"/>
      <c r="BT210" s="1468"/>
    </row>
    <row r="211" spans="61:72" customFormat="1">
      <c r="BI211" s="1468"/>
      <c r="BJ211" s="1468"/>
      <c r="BK211" s="1468"/>
      <c r="BL211" s="1468"/>
      <c r="BM211" s="1468"/>
      <c r="BN211" s="1468"/>
      <c r="BO211" s="1468"/>
      <c r="BP211" s="1468"/>
      <c r="BQ211" s="1468"/>
      <c r="BR211" s="1468"/>
      <c r="BS211" s="1468"/>
      <c r="BT211" s="1468"/>
    </row>
    <row r="212" spans="61:72" customFormat="1">
      <c r="BI212" s="1468"/>
      <c r="BJ212" s="1468"/>
      <c r="BK212" s="1468"/>
      <c r="BL212" s="1468"/>
      <c r="BM212" s="1468"/>
      <c r="BN212" s="1468"/>
      <c r="BO212" s="1468"/>
      <c r="BP212" s="1468"/>
      <c r="BQ212" s="1468"/>
      <c r="BR212" s="1468"/>
      <c r="BS212" s="1468"/>
      <c r="BT212" s="1468"/>
    </row>
    <row r="213" spans="61:72" customFormat="1">
      <c r="BI213" s="1468"/>
      <c r="BJ213" s="1468"/>
      <c r="BK213" s="1468"/>
      <c r="BL213" s="1468"/>
      <c r="BM213" s="1468"/>
      <c r="BN213" s="1468"/>
      <c r="BO213" s="1468"/>
      <c r="BP213" s="1468"/>
      <c r="BQ213" s="1468"/>
      <c r="BR213" s="1468"/>
      <c r="BS213" s="1468"/>
      <c r="BT213" s="1468"/>
    </row>
    <row r="214" spans="61:72" customFormat="1">
      <c r="BI214" s="1468"/>
      <c r="BJ214" s="1468"/>
      <c r="BK214" s="1468"/>
      <c r="BL214" s="1468"/>
      <c r="BM214" s="1468"/>
      <c r="BN214" s="1468"/>
      <c r="BO214" s="1468"/>
      <c r="BP214" s="1468"/>
      <c r="BQ214" s="1468"/>
      <c r="BR214" s="1468"/>
      <c r="BS214" s="1468"/>
      <c r="BT214" s="1468"/>
    </row>
    <row r="215" spans="61:72" customFormat="1">
      <c r="BI215" s="1468"/>
      <c r="BJ215" s="1468"/>
      <c r="BK215" s="1468"/>
      <c r="BL215" s="1468"/>
      <c r="BM215" s="1468"/>
      <c r="BN215" s="1468"/>
      <c r="BO215" s="1468"/>
      <c r="BP215" s="1468"/>
      <c r="BQ215" s="1468"/>
      <c r="BR215" s="1468"/>
      <c r="BS215" s="1468"/>
      <c r="BT215" s="1468"/>
    </row>
    <row r="216" spans="61:72" customFormat="1">
      <c r="BI216" s="1468"/>
      <c r="BJ216" s="1468"/>
      <c r="BK216" s="1468"/>
      <c r="BL216" s="1468"/>
      <c r="BM216" s="1468"/>
      <c r="BN216" s="1468"/>
      <c r="BO216" s="1468"/>
      <c r="BP216" s="1468"/>
      <c r="BQ216" s="1468"/>
      <c r="BR216" s="1468"/>
      <c r="BS216" s="1468"/>
      <c r="BT216" s="1468"/>
    </row>
    <row r="217" spans="61:72" customFormat="1">
      <c r="BI217" s="1468"/>
      <c r="BJ217" s="1468"/>
      <c r="BK217" s="1468"/>
      <c r="BL217" s="1468"/>
      <c r="BM217" s="1468"/>
      <c r="BN217" s="1468"/>
      <c r="BO217" s="1468"/>
      <c r="BP217" s="1468"/>
      <c r="BQ217" s="1468"/>
      <c r="BR217" s="1468"/>
      <c r="BS217" s="1468"/>
      <c r="BT217" s="1468"/>
    </row>
    <row r="218" spans="61:72" customFormat="1">
      <c r="BI218" s="1468"/>
      <c r="BJ218" s="1468"/>
      <c r="BK218" s="1468"/>
      <c r="BL218" s="1468"/>
      <c r="BM218" s="1468"/>
      <c r="BN218" s="1468"/>
      <c r="BO218" s="1468"/>
      <c r="BP218" s="1468"/>
      <c r="BQ218" s="1468"/>
      <c r="BR218" s="1468"/>
      <c r="BS218" s="1468"/>
      <c r="BT218" s="1468"/>
    </row>
    <row r="219" spans="61:72" customFormat="1">
      <c r="BI219" s="1468"/>
      <c r="BJ219" s="1468"/>
      <c r="BK219" s="1468"/>
      <c r="BL219" s="1468"/>
      <c r="BM219" s="1468"/>
      <c r="BN219" s="1468"/>
      <c r="BO219" s="1468"/>
      <c r="BP219" s="1468"/>
      <c r="BQ219" s="1468"/>
      <c r="BR219" s="1468"/>
      <c r="BS219" s="1468"/>
      <c r="BT219" s="1468"/>
    </row>
    <row r="220" spans="61:72" customFormat="1">
      <c r="BI220" s="1468"/>
      <c r="BJ220" s="1468"/>
      <c r="BK220" s="1468"/>
      <c r="BL220" s="1468"/>
      <c r="BM220" s="1468"/>
      <c r="BN220" s="1468"/>
      <c r="BO220" s="1468"/>
      <c r="BP220" s="1468"/>
      <c r="BQ220" s="1468"/>
      <c r="BR220" s="1468"/>
      <c r="BS220" s="1468"/>
      <c r="BT220" s="1468"/>
    </row>
    <row r="221" spans="61:72" customFormat="1">
      <c r="BI221" s="1468"/>
      <c r="BJ221" s="1468"/>
      <c r="BK221" s="1468"/>
      <c r="BL221" s="1468"/>
      <c r="BM221" s="1468"/>
      <c r="BN221" s="1468"/>
      <c r="BO221" s="1468"/>
      <c r="BP221" s="1468"/>
      <c r="BQ221" s="1468"/>
      <c r="BR221" s="1468"/>
      <c r="BS221" s="1468"/>
      <c r="BT221" s="1468"/>
    </row>
    <row r="222" spans="61:72" customFormat="1">
      <c r="BI222" s="1468"/>
      <c r="BJ222" s="1468"/>
      <c r="BK222" s="1468"/>
      <c r="BL222" s="1468"/>
      <c r="BM222" s="1468"/>
      <c r="BN222" s="1468"/>
      <c r="BO222" s="1468"/>
      <c r="BP222" s="1468"/>
      <c r="BQ222" s="1468"/>
      <c r="BR222" s="1468"/>
      <c r="BS222" s="1468"/>
      <c r="BT222" s="1468"/>
    </row>
    <row r="223" spans="61:72" customFormat="1">
      <c r="BI223" s="1468"/>
      <c r="BJ223" s="1468"/>
      <c r="BK223" s="1468"/>
      <c r="BL223" s="1468"/>
      <c r="BM223" s="1468"/>
      <c r="BN223" s="1468"/>
      <c r="BO223" s="1468"/>
      <c r="BP223" s="1468"/>
      <c r="BQ223" s="1468"/>
      <c r="BR223" s="1468"/>
      <c r="BS223" s="1468"/>
      <c r="BT223" s="1468"/>
    </row>
    <row r="224" spans="61:72" customFormat="1">
      <c r="BI224" s="1468"/>
      <c r="BJ224" s="1468"/>
      <c r="BK224" s="1468"/>
      <c r="BL224" s="1468"/>
      <c r="BM224" s="1468"/>
      <c r="BN224" s="1468"/>
      <c r="BO224" s="1468"/>
      <c r="BP224" s="1468"/>
      <c r="BQ224" s="1468"/>
      <c r="BR224" s="1468"/>
      <c r="BS224" s="1468"/>
      <c r="BT224" s="1468"/>
    </row>
    <row r="225" spans="61:72" customFormat="1">
      <c r="BI225" s="1468"/>
      <c r="BJ225" s="1468"/>
      <c r="BK225" s="1468"/>
      <c r="BL225" s="1468"/>
      <c r="BM225" s="1468"/>
      <c r="BN225" s="1468"/>
      <c r="BO225" s="1468"/>
      <c r="BP225" s="1468"/>
      <c r="BQ225" s="1468"/>
      <c r="BR225" s="1468"/>
      <c r="BS225" s="1468"/>
      <c r="BT225" s="1468"/>
    </row>
    <row r="226" spans="61:72" customFormat="1">
      <c r="BI226" s="1468"/>
      <c r="BJ226" s="1468"/>
      <c r="BK226" s="1468"/>
      <c r="BL226" s="1468"/>
      <c r="BM226" s="1468"/>
      <c r="BN226" s="1468"/>
      <c r="BO226" s="1468"/>
      <c r="BP226" s="1468"/>
      <c r="BQ226" s="1468"/>
      <c r="BR226" s="1468"/>
      <c r="BS226" s="1468"/>
      <c r="BT226" s="1468"/>
    </row>
    <row r="227" spans="61:72" customFormat="1">
      <c r="BI227" s="1468"/>
      <c r="BJ227" s="1468"/>
      <c r="BK227" s="1468"/>
      <c r="BL227" s="1468"/>
      <c r="BM227" s="1468"/>
      <c r="BN227" s="1468"/>
      <c r="BO227" s="1468"/>
      <c r="BP227" s="1468"/>
      <c r="BQ227" s="1468"/>
      <c r="BR227" s="1468"/>
      <c r="BS227" s="1468"/>
      <c r="BT227" s="1468"/>
    </row>
    <row r="228" spans="61:72" customFormat="1">
      <c r="BI228" s="1468"/>
      <c r="BJ228" s="1468"/>
      <c r="BK228" s="1468"/>
      <c r="BL228" s="1468"/>
      <c r="BM228" s="1468"/>
      <c r="BN228" s="1468"/>
      <c r="BO228" s="1468"/>
      <c r="BP228" s="1468"/>
      <c r="BQ228" s="1468"/>
      <c r="BR228" s="1468"/>
      <c r="BS228" s="1468"/>
      <c r="BT228" s="1468"/>
    </row>
    <row r="229" spans="61:72" customFormat="1">
      <c r="BI229" s="1468"/>
      <c r="BJ229" s="1468"/>
      <c r="BK229" s="1468"/>
      <c r="BL229" s="1468"/>
      <c r="BM229" s="1468"/>
      <c r="BN229" s="1468"/>
      <c r="BO229" s="1468"/>
      <c r="BP229" s="1468"/>
      <c r="BQ229" s="1468"/>
      <c r="BR229" s="1468"/>
      <c r="BS229" s="1468"/>
      <c r="BT229" s="1468"/>
    </row>
    <row r="230" spans="61:72" customFormat="1">
      <c r="BI230" s="1468"/>
      <c r="BJ230" s="1468"/>
      <c r="BK230" s="1468"/>
      <c r="BL230" s="1468"/>
      <c r="BM230" s="1468"/>
      <c r="BN230" s="1468"/>
      <c r="BO230" s="1468"/>
      <c r="BP230" s="1468"/>
      <c r="BQ230" s="1468"/>
      <c r="BR230" s="1468"/>
      <c r="BS230" s="1468"/>
      <c r="BT230" s="1468"/>
    </row>
    <row r="231" spans="61:72" customFormat="1">
      <c r="BI231" s="1468"/>
      <c r="BJ231" s="1468"/>
      <c r="BK231" s="1468"/>
      <c r="BL231" s="1468"/>
      <c r="BM231" s="1468"/>
      <c r="BN231" s="1468"/>
      <c r="BO231" s="1468"/>
      <c r="BP231" s="1468"/>
      <c r="BQ231" s="1468"/>
      <c r="BR231" s="1468"/>
      <c r="BS231" s="1468"/>
      <c r="BT231" s="1468"/>
    </row>
    <row r="232" spans="61:72" customFormat="1">
      <c r="BI232" s="1468"/>
      <c r="BJ232" s="1468"/>
      <c r="BK232" s="1468"/>
      <c r="BL232" s="1468"/>
      <c r="BM232" s="1468"/>
      <c r="BN232" s="1468"/>
      <c r="BO232" s="1468"/>
      <c r="BP232" s="1468"/>
      <c r="BQ232" s="1468"/>
      <c r="BR232" s="1468"/>
      <c r="BS232" s="1468"/>
      <c r="BT232" s="1468"/>
    </row>
    <row r="233" spans="61:72" customFormat="1">
      <c r="BI233" s="1468"/>
      <c r="BJ233" s="1468"/>
      <c r="BK233" s="1468"/>
      <c r="BL233" s="1468"/>
      <c r="BM233" s="1468"/>
      <c r="BN233" s="1468"/>
      <c r="BO233" s="1468"/>
      <c r="BP233" s="1468"/>
      <c r="BQ233" s="1468"/>
      <c r="BR233" s="1468"/>
      <c r="BS233" s="1468"/>
      <c r="BT233" s="1468"/>
    </row>
    <row r="234" spans="61:72" customFormat="1">
      <c r="BI234" s="1468"/>
      <c r="BJ234" s="1468"/>
      <c r="BK234" s="1468"/>
      <c r="BL234" s="1468"/>
      <c r="BM234" s="1468"/>
      <c r="BN234" s="1468"/>
      <c r="BO234" s="1468"/>
      <c r="BP234" s="1468"/>
      <c r="BQ234" s="1468"/>
      <c r="BR234" s="1468"/>
      <c r="BS234" s="1468"/>
      <c r="BT234" s="1468"/>
    </row>
    <row r="235" spans="61:72" customFormat="1">
      <c r="BI235" s="1468"/>
      <c r="BJ235" s="1468"/>
      <c r="BK235" s="1468"/>
      <c r="BL235" s="1468"/>
      <c r="BM235" s="1468"/>
      <c r="BN235" s="1468"/>
      <c r="BO235" s="1468"/>
      <c r="BP235" s="1468"/>
      <c r="BQ235" s="1468"/>
      <c r="BR235" s="1468"/>
      <c r="BS235" s="1468"/>
      <c r="BT235" s="1468"/>
    </row>
    <row r="236" spans="61:72" customFormat="1">
      <c r="BI236" s="1468"/>
      <c r="BJ236" s="1468"/>
      <c r="BK236" s="1468"/>
      <c r="BL236" s="1468"/>
      <c r="BM236" s="1468"/>
      <c r="BN236" s="1468"/>
      <c r="BO236" s="1468"/>
      <c r="BP236" s="1468"/>
      <c r="BQ236" s="1468"/>
      <c r="BR236" s="1468"/>
      <c r="BS236" s="1468"/>
      <c r="BT236" s="1468"/>
    </row>
    <row r="237" spans="61:72" customFormat="1">
      <c r="BI237" s="1468"/>
      <c r="BJ237" s="1468"/>
      <c r="BK237" s="1468"/>
      <c r="BL237" s="1468"/>
      <c r="BM237" s="1468"/>
      <c r="BN237" s="1468"/>
      <c r="BO237" s="1468"/>
      <c r="BP237" s="1468"/>
      <c r="BQ237" s="1468"/>
      <c r="BR237" s="1468"/>
      <c r="BS237" s="1468"/>
      <c r="BT237" s="1468"/>
    </row>
    <row r="238" spans="61:72" customFormat="1">
      <c r="BI238" s="1468"/>
      <c r="BJ238" s="1468"/>
      <c r="BK238" s="1468"/>
      <c r="BL238" s="1468"/>
      <c r="BM238" s="1468"/>
      <c r="BN238" s="1468"/>
      <c r="BO238" s="1468"/>
      <c r="BP238" s="1468"/>
      <c r="BQ238" s="1468"/>
      <c r="BR238" s="1468"/>
      <c r="BS238" s="1468"/>
      <c r="BT238" s="1468"/>
    </row>
    <row r="239" spans="61:72" customFormat="1">
      <c r="BI239" s="1468"/>
      <c r="BJ239" s="1468"/>
      <c r="BK239" s="1468"/>
      <c r="BL239" s="1468"/>
      <c r="BM239" s="1468"/>
      <c r="BN239" s="1468"/>
      <c r="BO239" s="1468"/>
      <c r="BP239" s="1468"/>
      <c r="BQ239" s="1468"/>
      <c r="BR239" s="1468"/>
      <c r="BS239" s="1468"/>
      <c r="BT239" s="1468"/>
    </row>
    <row r="240" spans="61:72" customFormat="1">
      <c r="BI240" s="1468"/>
      <c r="BJ240" s="1468"/>
      <c r="BK240" s="1468"/>
      <c r="BL240" s="1468"/>
      <c r="BM240" s="1468"/>
      <c r="BN240" s="1468"/>
      <c r="BO240" s="1468"/>
      <c r="BP240" s="1468"/>
      <c r="BQ240" s="1468"/>
      <c r="BR240" s="1468"/>
      <c r="BS240" s="1468"/>
      <c r="BT240" s="1468"/>
    </row>
    <row r="241" spans="61:72" customFormat="1">
      <c r="BI241" s="1468"/>
      <c r="BJ241" s="1468"/>
      <c r="BK241" s="1468"/>
      <c r="BL241" s="1468"/>
      <c r="BM241" s="1468"/>
      <c r="BN241" s="1468"/>
      <c r="BO241" s="1468"/>
      <c r="BP241" s="1468"/>
      <c r="BQ241" s="1468"/>
      <c r="BR241" s="1468"/>
      <c r="BS241" s="1468"/>
      <c r="BT241" s="1468"/>
    </row>
    <row r="242" spans="61:72" customFormat="1">
      <c r="BI242" s="1468"/>
      <c r="BJ242" s="1468"/>
      <c r="BK242" s="1468"/>
      <c r="BL242" s="1468"/>
      <c r="BM242" s="1468"/>
      <c r="BN242" s="1468"/>
      <c r="BO242" s="1468"/>
      <c r="BP242" s="1468"/>
      <c r="BQ242" s="1468"/>
      <c r="BR242" s="1468"/>
      <c r="BS242" s="1468"/>
      <c r="BT242" s="1468"/>
    </row>
    <row r="243" spans="61:72" customFormat="1">
      <c r="BI243" s="1468"/>
      <c r="BJ243" s="1468"/>
      <c r="BK243" s="1468"/>
      <c r="BL243" s="1468"/>
      <c r="BM243" s="1468"/>
      <c r="BN243" s="1468"/>
      <c r="BO243" s="1468"/>
      <c r="BP243" s="1468"/>
      <c r="BQ243" s="1468"/>
      <c r="BR243" s="1468"/>
      <c r="BS243" s="1468"/>
      <c r="BT243" s="1468"/>
    </row>
    <row r="244" spans="61:72" customFormat="1">
      <c r="BI244" s="1468"/>
      <c r="BJ244" s="1468"/>
      <c r="BK244" s="1468"/>
      <c r="BL244" s="1468"/>
      <c r="BM244" s="1468"/>
      <c r="BN244" s="1468"/>
      <c r="BO244" s="1468"/>
      <c r="BP244" s="1468"/>
      <c r="BQ244" s="1468"/>
      <c r="BR244" s="1468"/>
      <c r="BS244" s="1468"/>
      <c r="BT244" s="1468"/>
    </row>
    <row r="245" spans="61:72" customFormat="1">
      <c r="BI245" s="1468"/>
      <c r="BJ245" s="1468"/>
      <c r="BK245" s="1468"/>
      <c r="BL245" s="1468"/>
      <c r="BM245" s="1468"/>
      <c r="BN245" s="1468"/>
      <c r="BO245" s="1468"/>
      <c r="BP245" s="1468"/>
      <c r="BQ245" s="1468"/>
      <c r="BR245" s="1468"/>
      <c r="BS245" s="1468"/>
      <c r="BT245" s="1468"/>
    </row>
    <row r="246" spans="61:72" customFormat="1">
      <c r="BI246" s="1468"/>
      <c r="BJ246" s="1468"/>
      <c r="BK246" s="1468"/>
      <c r="BL246" s="1468"/>
      <c r="BM246" s="1468"/>
      <c r="BN246" s="1468"/>
      <c r="BO246" s="1468"/>
      <c r="BP246" s="1468"/>
      <c r="BQ246" s="1468"/>
      <c r="BR246" s="1468"/>
      <c r="BS246" s="1468"/>
      <c r="BT246" s="1468"/>
    </row>
    <row r="247" spans="61:72" customFormat="1">
      <c r="BI247" s="1468"/>
      <c r="BJ247" s="1468"/>
      <c r="BK247" s="1468"/>
      <c r="BL247" s="1468"/>
      <c r="BM247" s="1468"/>
      <c r="BN247" s="1468"/>
      <c r="BO247" s="1468"/>
      <c r="BP247" s="1468"/>
      <c r="BQ247" s="1468"/>
      <c r="BR247" s="1468"/>
      <c r="BS247" s="1468"/>
      <c r="BT247" s="1468"/>
    </row>
    <row r="248" spans="61:72" customFormat="1">
      <c r="BI248" s="1468"/>
      <c r="BJ248" s="1468"/>
      <c r="BK248" s="1468"/>
      <c r="BL248" s="1468"/>
      <c r="BM248" s="1468"/>
      <c r="BN248" s="1468"/>
      <c r="BO248" s="1468"/>
      <c r="BP248" s="1468"/>
      <c r="BQ248" s="1468"/>
      <c r="BR248" s="1468"/>
      <c r="BS248" s="1468"/>
      <c r="BT248" s="1468"/>
    </row>
    <row r="249" spans="61:72" customFormat="1">
      <c r="BI249" s="1468"/>
      <c r="BJ249" s="1468"/>
      <c r="BK249" s="1468"/>
      <c r="BL249" s="1468"/>
      <c r="BM249" s="1468"/>
      <c r="BN249" s="1468"/>
      <c r="BO249" s="1468"/>
      <c r="BP249" s="1468"/>
      <c r="BQ249" s="1468"/>
      <c r="BR249" s="1468"/>
      <c r="BS249" s="1468"/>
      <c r="BT249" s="1468"/>
    </row>
    <row r="250" spans="61:72" customFormat="1">
      <c r="BI250" s="1468"/>
      <c r="BJ250" s="1468"/>
      <c r="BK250" s="1468"/>
      <c r="BL250" s="1468"/>
      <c r="BM250" s="1468"/>
      <c r="BN250" s="1468"/>
      <c r="BO250" s="1468"/>
      <c r="BP250" s="1468"/>
      <c r="BQ250" s="1468"/>
      <c r="BR250" s="1468"/>
      <c r="BS250" s="1468"/>
      <c r="BT250" s="1468"/>
    </row>
    <row r="251" spans="61:72" customFormat="1">
      <c r="BI251" s="1468"/>
      <c r="BJ251" s="1468"/>
      <c r="BK251" s="1468"/>
      <c r="BL251" s="1468"/>
      <c r="BM251" s="1468"/>
      <c r="BN251" s="1468"/>
      <c r="BO251" s="1468"/>
      <c r="BP251" s="1468"/>
      <c r="BQ251" s="1468"/>
      <c r="BR251" s="1468"/>
      <c r="BS251" s="1468"/>
      <c r="BT251" s="1468"/>
    </row>
    <row r="252" spans="61:72" customFormat="1">
      <c r="BI252" s="1468"/>
      <c r="BJ252" s="1468"/>
      <c r="BK252" s="1468"/>
      <c r="BL252" s="1468"/>
      <c r="BM252" s="1468"/>
      <c r="BN252" s="1468"/>
      <c r="BO252" s="1468"/>
      <c r="BP252" s="1468"/>
      <c r="BQ252" s="1468"/>
      <c r="BR252" s="1468"/>
      <c r="BS252" s="1468"/>
      <c r="BT252" s="1468"/>
    </row>
    <row r="253" spans="61:72" customFormat="1">
      <c r="BI253" s="1468"/>
      <c r="BJ253" s="1468"/>
      <c r="BK253" s="1468"/>
      <c r="BL253" s="1468"/>
      <c r="BM253" s="1468"/>
      <c r="BN253" s="1468"/>
      <c r="BO253" s="1468"/>
      <c r="BP253" s="1468"/>
      <c r="BQ253" s="1468"/>
      <c r="BR253" s="1468"/>
      <c r="BS253" s="1468"/>
      <c r="BT253" s="1468"/>
    </row>
    <row r="254" spans="61:72" customFormat="1">
      <c r="BI254" s="1468"/>
      <c r="BJ254" s="1468"/>
      <c r="BK254" s="1468"/>
      <c r="BL254" s="1468"/>
      <c r="BM254" s="1468"/>
      <c r="BN254" s="1468"/>
      <c r="BO254" s="1468"/>
      <c r="BP254" s="1468"/>
      <c r="BQ254" s="1468"/>
      <c r="BR254" s="1468"/>
      <c r="BS254" s="1468"/>
      <c r="BT254" s="1468"/>
    </row>
    <row r="255" spans="61:72" customFormat="1">
      <c r="BI255" s="1468"/>
      <c r="BJ255" s="1468"/>
      <c r="BK255" s="1468"/>
      <c r="BL255" s="1468"/>
      <c r="BM255" s="1468"/>
      <c r="BN255" s="1468"/>
      <c r="BO255" s="1468"/>
      <c r="BP255" s="1468"/>
      <c r="BQ255" s="1468"/>
      <c r="BR255" s="1468"/>
      <c r="BS255" s="1468"/>
      <c r="BT255" s="1468"/>
    </row>
    <row r="256" spans="61:72" customFormat="1">
      <c r="BI256" s="1468"/>
      <c r="BJ256" s="1468"/>
      <c r="BK256" s="1468"/>
      <c r="BL256" s="1468"/>
      <c r="BM256" s="1468"/>
      <c r="BN256" s="1468"/>
      <c r="BO256" s="1468"/>
      <c r="BP256" s="1468"/>
      <c r="BQ256" s="1468"/>
      <c r="BR256" s="1468"/>
      <c r="BS256" s="1468"/>
      <c r="BT256" s="1468"/>
    </row>
    <row r="257" spans="61:72" customFormat="1">
      <c r="BI257" s="1468"/>
      <c r="BJ257" s="1468"/>
      <c r="BK257" s="1468"/>
      <c r="BL257" s="1468"/>
      <c r="BM257" s="1468"/>
      <c r="BN257" s="1468"/>
      <c r="BO257" s="1468"/>
      <c r="BP257" s="1468"/>
      <c r="BQ257" s="1468"/>
      <c r="BR257" s="1468"/>
      <c r="BS257" s="1468"/>
      <c r="BT257" s="1468"/>
    </row>
    <row r="258" spans="61:72" customFormat="1">
      <c r="BI258" s="1468"/>
      <c r="BJ258" s="1468"/>
      <c r="BK258" s="1468"/>
      <c r="BL258" s="1468"/>
      <c r="BM258" s="1468"/>
      <c r="BN258" s="1468"/>
      <c r="BO258" s="1468"/>
      <c r="BP258" s="1468"/>
      <c r="BQ258" s="1468"/>
      <c r="BR258" s="1468"/>
      <c r="BS258" s="1468"/>
      <c r="BT258" s="1468"/>
    </row>
    <row r="259" spans="61:72" customFormat="1">
      <c r="BI259" s="1468"/>
      <c r="BJ259" s="1468"/>
      <c r="BK259" s="1468"/>
      <c r="BL259" s="1468"/>
      <c r="BM259" s="1468"/>
      <c r="BN259" s="1468"/>
      <c r="BO259" s="1468"/>
      <c r="BP259" s="1468"/>
      <c r="BQ259" s="1468"/>
      <c r="BR259" s="1468"/>
      <c r="BS259" s="1468"/>
      <c r="BT259" s="1468"/>
    </row>
    <row r="260" spans="61:72" customFormat="1">
      <c r="BI260" s="1468"/>
      <c r="BJ260" s="1468"/>
      <c r="BK260" s="1468"/>
      <c r="BL260" s="1468"/>
      <c r="BM260" s="1468"/>
      <c r="BN260" s="1468"/>
      <c r="BO260" s="1468"/>
      <c r="BP260" s="1468"/>
      <c r="BQ260" s="1468"/>
      <c r="BR260" s="1468"/>
      <c r="BS260" s="1468"/>
      <c r="BT260" s="1468"/>
    </row>
    <row r="261" spans="61:72" customFormat="1">
      <c r="BI261" s="1468"/>
      <c r="BJ261" s="1468"/>
      <c r="BK261" s="1468"/>
      <c r="BL261" s="1468"/>
      <c r="BM261" s="1468"/>
      <c r="BN261" s="1468"/>
      <c r="BO261" s="1468"/>
      <c r="BP261" s="1468"/>
      <c r="BQ261" s="1468"/>
      <c r="BR261" s="1468"/>
      <c r="BS261" s="1468"/>
      <c r="BT261" s="1468"/>
    </row>
    <row r="262" spans="61:72" customFormat="1">
      <c r="BI262" s="1468"/>
      <c r="BJ262" s="1468"/>
      <c r="BK262" s="1468"/>
      <c r="BL262" s="1468"/>
      <c r="BM262" s="1468"/>
      <c r="BN262" s="1468"/>
      <c r="BO262" s="1468"/>
      <c r="BP262" s="1468"/>
      <c r="BQ262" s="1468"/>
      <c r="BR262" s="1468"/>
      <c r="BS262" s="1468"/>
      <c r="BT262" s="1468"/>
    </row>
    <row r="263" spans="61:72" customFormat="1">
      <c r="BI263" s="1468"/>
      <c r="BJ263" s="1468"/>
      <c r="BK263" s="1468"/>
      <c r="BL263" s="1468"/>
      <c r="BM263" s="1468"/>
      <c r="BN263" s="1468"/>
      <c r="BO263" s="1468"/>
      <c r="BP263" s="1468"/>
      <c r="BQ263" s="1468"/>
      <c r="BR263" s="1468"/>
      <c r="BS263" s="1468"/>
      <c r="BT263" s="1468"/>
    </row>
    <row r="264" spans="61:72" customFormat="1">
      <c r="BI264" s="1468"/>
      <c r="BJ264" s="1468"/>
      <c r="BK264" s="1468"/>
      <c r="BL264" s="1468"/>
      <c r="BM264" s="1468"/>
      <c r="BN264" s="1468"/>
      <c r="BO264" s="1468"/>
      <c r="BP264" s="1468"/>
      <c r="BQ264" s="1468"/>
      <c r="BR264" s="1468"/>
      <c r="BS264" s="1468"/>
      <c r="BT264" s="1468"/>
    </row>
    <row r="265" spans="61:72" customFormat="1">
      <c r="BI265" s="1468"/>
      <c r="BJ265" s="1468"/>
      <c r="BK265" s="1468"/>
      <c r="BL265" s="1468"/>
      <c r="BM265" s="1468"/>
      <c r="BN265" s="1468"/>
      <c r="BO265" s="1468"/>
      <c r="BP265" s="1468"/>
      <c r="BQ265" s="1468"/>
      <c r="BR265" s="1468"/>
      <c r="BS265" s="1468"/>
      <c r="BT265" s="1468"/>
    </row>
    <row r="266" spans="61:72" customFormat="1">
      <c r="BI266" s="1468"/>
      <c r="BJ266" s="1468"/>
      <c r="BK266" s="1468"/>
      <c r="BL266" s="1468"/>
      <c r="BM266" s="1468"/>
      <c r="BN266" s="1468"/>
      <c r="BO266" s="1468"/>
      <c r="BP266" s="1468"/>
      <c r="BQ266" s="1468"/>
      <c r="BR266" s="1468"/>
      <c r="BS266" s="1468"/>
      <c r="BT266" s="1468"/>
    </row>
    <row r="267" spans="61:72" customFormat="1">
      <c r="BI267" s="1468"/>
      <c r="BJ267" s="1468"/>
      <c r="BK267" s="1468"/>
      <c r="BL267" s="1468"/>
      <c r="BM267" s="1468"/>
      <c r="BN267" s="1468"/>
      <c r="BO267" s="1468"/>
      <c r="BP267" s="1468"/>
      <c r="BQ267" s="1468"/>
      <c r="BR267" s="1468"/>
      <c r="BS267" s="1468"/>
      <c r="BT267" s="1468"/>
    </row>
    <row r="268" spans="61:72" customFormat="1">
      <c r="BI268" s="1468"/>
      <c r="BJ268" s="1468"/>
      <c r="BK268" s="1468"/>
      <c r="BL268" s="1468"/>
      <c r="BM268" s="1468"/>
      <c r="BN268" s="1468"/>
      <c r="BO268" s="1468"/>
      <c r="BP268" s="1468"/>
      <c r="BQ268" s="1468"/>
      <c r="BR268" s="1468"/>
      <c r="BS268" s="1468"/>
      <c r="BT268" s="1468"/>
    </row>
    <row r="269" spans="61:72" customFormat="1">
      <c r="BI269" s="1468"/>
      <c r="BJ269" s="1468"/>
      <c r="BK269" s="1468"/>
      <c r="BL269" s="1468"/>
      <c r="BM269" s="1468"/>
      <c r="BN269" s="1468"/>
      <c r="BO269" s="1468"/>
      <c r="BP269" s="1468"/>
      <c r="BQ269" s="1468"/>
      <c r="BR269" s="1468"/>
      <c r="BS269" s="1468"/>
      <c r="BT269" s="1468"/>
    </row>
    <row r="270" spans="61:72" customFormat="1">
      <c r="BI270" s="1468"/>
      <c r="BJ270" s="1468"/>
      <c r="BK270" s="1468"/>
      <c r="BL270" s="1468"/>
      <c r="BM270" s="1468"/>
      <c r="BN270" s="1468"/>
      <c r="BO270" s="1468"/>
      <c r="BP270" s="1468"/>
      <c r="BQ270" s="1468"/>
      <c r="BR270" s="1468"/>
      <c r="BS270" s="1468"/>
      <c r="BT270" s="1468"/>
    </row>
    <row r="271" spans="61:72" customFormat="1">
      <c r="BI271" s="1468"/>
      <c r="BJ271" s="1468"/>
      <c r="BK271" s="1468"/>
      <c r="BL271" s="1468"/>
      <c r="BM271" s="1468"/>
      <c r="BN271" s="1468"/>
      <c r="BO271" s="1468"/>
      <c r="BP271" s="1468"/>
      <c r="BQ271" s="1468"/>
      <c r="BR271" s="1468"/>
      <c r="BS271" s="1468"/>
      <c r="BT271" s="1468"/>
    </row>
    <row r="272" spans="61:72" customFormat="1">
      <c r="BI272" s="1468"/>
      <c r="BJ272" s="1468"/>
      <c r="BK272" s="1468"/>
      <c r="BL272" s="1468"/>
      <c r="BM272" s="1468"/>
      <c r="BN272" s="1468"/>
      <c r="BO272" s="1468"/>
      <c r="BP272" s="1468"/>
      <c r="BQ272" s="1468"/>
      <c r="BR272" s="1468"/>
      <c r="BS272" s="1468"/>
      <c r="BT272" s="1468"/>
    </row>
    <row r="273" spans="61:72" customFormat="1">
      <c r="BI273" s="1468"/>
      <c r="BJ273" s="1468"/>
      <c r="BK273" s="1468"/>
      <c r="BL273" s="1468"/>
      <c r="BM273" s="1468"/>
      <c r="BN273" s="1468"/>
      <c r="BO273" s="1468"/>
      <c r="BP273" s="1468"/>
      <c r="BQ273" s="1468"/>
      <c r="BR273" s="1468"/>
      <c r="BS273" s="1468"/>
      <c r="BT273" s="1468"/>
    </row>
    <row r="274" spans="61:72" customFormat="1">
      <c r="BI274" s="1468"/>
      <c r="BJ274" s="1468"/>
      <c r="BK274" s="1468"/>
      <c r="BL274" s="1468"/>
      <c r="BM274" s="1468"/>
      <c r="BN274" s="1468"/>
      <c r="BO274" s="1468"/>
      <c r="BP274" s="1468"/>
      <c r="BQ274" s="1468"/>
      <c r="BR274" s="1468"/>
      <c r="BS274" s="1468"/>
      <c r="BT274" s="1468"/>
    </row>
    <row r="275" spans="61:72" customFormat="1">
      <c r="BI275" s="1468"/>
      <c r="BJ275" s="1468"/>
      <c r="BK275" s="1468"/>
      <c r="BL275" s="1468"/>
      <c r="BM275" s="1468"/>
      <c r="BN275" s="1468"/>
      <c r="BO275" s="1468"/>
      <c r="BP275" s="1468"/>
      <c r="BQ275" s="1468"/>
      <c r="BR275" s="1468"/>
      <c r="BS275" s="1468"/>
      <c r="BT275" s="1468"/>
    </row>
    <row r="276" spans="61:72" customFormat="1">
      <c r="BI276" s="1468"/>
      <c r="BJ276" s="1468"/>
      <c r="BK276" s="1468"/>
      <c r="BL276" s="1468"/>
      <c r="BM276" s="1468"/>
      <c r="BN276" s="1468"/>
      <c r="BO276" s="1468"/>
      <c r="BP276" s="1468"/>
      <c r="BQ276" s="1468"/>
      <c r="BR276" s="1468"/>
      <c r="BS276" s="1468"/>
      <c r="BT276" s="1468"/>
    </row>
    <row r="277" spans="61:72" customFormat="1">
      <c r="BI277" s="1468"/>
      <c r="BJ277" s="1468"/>
      <c r="BK277" s="1468"/>
      <c r="BL277" s="1468"/>
      <c r="BM277" s="1468"/>
      <c r="BN277" s="1468"/>
      <c r="BO277" s="1468"/>
      <c r="BP277" s="1468"/>
      <c r="BQ277" s="1468"/>
      <c r="BR277" s="1468"/>
      <c r="BS277" s="1468"/>
      <c r="BT277" s="1468"/>
    </row>
    <row r="278" spans="61:72" customFormat="1">
      <c r="BI278" s="1468"/>
      <c r="BJ278" s="1468"/>
      <c r="BK278" s="1468"/>
      <c r="BL278" s="1468"/>
      <c r="BM278" s="1468"/>
      <c r="BN278" s="1468"/>
      <c r="BO278" s="1468"/>
      <c r="BP278" s="1468"/>
      <c r="BQ278" s="1468"/>
      <c r="BR278" s="1468"/>
      <c r="BS278" s="1468"/>
      <c r="BT278" s="1468"/>
    </row>
    <row r="279" spans="61:72" customFormat="1">
      <c r="BI279" s="1468"/>
      <c r="BJ279" s="1468"/>
      <c r="BK279" s="1468"/>
      <c r="BL279" s="1468"/>
      <c r="BM279" s="1468"/>
      <c r="BN279" s="1468"/>
      <c r="BO279" s="1468"/>
      <c r="BP279" s="1468"/>
      <c r="BQ279" s="1468"/>
      <c r="BR279" s="1468"/>
      <c r="BS279" s="1468"/>
      <c r="BT279" s="1468"/>
    </row>
    <row r="280" spans="61:72" customFormat="1">
      <c r="BI280" s="1468"/>
      <c r="BJ280" s="1468"/>
      <c r="BK280" s="1468"/>
      <c r="BL280" s="1468"/>
      <c r="BM280" s="1468"/>
      <c r="BN280" s="1468"/>
      <c r="BO280" s="1468"/>
      <c r="BP280" s="1468"/>
      <c r="BQ280" s="1468"/>
      <c r="BR280" s="1468"/>
      <c r="BS280" s="1468"/>
      <c r="BT280" s="1468"/>
    </row>
    <row r="281" spans="61:72" customFormat="1">
      <c r="BI281" s="1468"/>
      <c r="BJ281" s="1468"/>
      <c r="BK281" s="1468"/>
      <c r="BL281" s="1468"/>
      <c r="BM281" s="1468"/>
      <c r="BN281" s="1468"/>
      <c r="BO281" s="1468"/>
      <c r="BP281" s="1468"/>
      <c r="BQ281" s="1468"/>
      <c r="BR281" s="1468"/>
      <c r="BS281" s="1468"/>
      <c r="BT281" s="1468"/>
    </row>
    <row r="282" spans="61:72" customFormat="1">
      <c r="BI282" s="1468"/>
      <c r="BJ282" s="1468"/>
      <c r="BK282" s="1468"/>
      <c r="BL282" s="1468"/>
      <c r="BM282" s="1468"/>
      <c r="BN282" s="1468"/>
      <c r="BO282" s="1468"/>
      <c r="BP282" s="1468"/>
      <c r="BQ282" s="1468"/>
      <c r="BR282" s="1468"/>
      <c r="BS282" s="1468"/>
      <c r="BT282" s="1468"/>
    </row>
    <row r="283" spans="61:72" customFormat="1">
      <c r="BI283" s="1468"/>
      <c r="BJ283" s="1468"/>
      <c r="BK283" s="1468"/>
      <c r="BL283" s="1468"/>
      <c r="BM283" s="1468"/>
      <c r="BN283" s="1468"/>
      <c r="BO283" s="1468"/>
      <c r="BP283" s="1468"/>
      <c r="BQ283" s="1468"/>
      <c r="BR283" s="1468"/>
      <c r="BS283" s="1468"/>
      <c r="BT283" s="1468"/>
    </row>
    <row r="284" spans="61:72" customFormat="1">
      <c r="BI284" s="1468"/>
      <c r="BJ284" s="1468"/>
      <c r="BK284" s="1468"/>
      <c r="BL284" s="1468"/>
      <c r="BM284" s="1468"/>
      <c r="BN284" s="1468"/>
      <c r="BO284" s="1468"/>
      <c r="BP284" s="1468"/>
      <c r="BQ284" s="1468"/>
      <c r="BR284" s="1468"/>
      <c r="BS284" s="1468"/>
      <c r="BT284" s="1468"/>
    </row>
    <row r="285" spans="61:72" customFormat="1">
      <c r="BI285" s="1468"/>
      <c r="BJ285" s="1468"/>
      <c r="BK285" s="1468"/>
      <c r="BL285" s="1468"/>
      <c r="BM285" s="1468"/>
      <c r="BN285" s="1468"/>
      <c r="BO285" s="1468"/>
      <c r="BP285" s="1468"/>
      <c r="BQ285" s="1468"/>
      <c r="BR285" s="1468"/>
      <c r="BS285" s="1468"/>
      <c r="BT285" s="1468"/>
    </row>
    <row r="286" spans="61:72" customFormat="1">
      <c r="BI286" s="1468"/>
      <c r="BJ286" s="1468"/>
      <c r="BK286" s="1468"/>
      <c r="BL286" s="1468"/>
      <c r="BM286" s="1468"/>
      <c r="BN286" s="1468"/>
      <c r="BO286" s="1468"/>
      <c r="BP286" s="1468"/>
      <c r="BQ286" s="1468"/>
      <c r="BR286" s="1468"/>
      <c r="BS286" s="1468"/>
      <c r="BT286" s="1468"/>
    </row>
    <row r="287" spans="61:72" customFormat="1">
      <c r="BI287" s="1468"/>
      <c r="BJ287" s="1468"/>
      <c r="BK287" s="1468"/>
      <c r="BL287" s="1468"/>
      <c r="BM287" s="1468"/>
      <c r="BN287" s="1468"/>
      <c r="BO287" s="1468"/>
      <c r="BP287" s="1468"/>
      <c r="BQ287" s="1468"/>
      <c r="BR287" s="1468"/>
      <c r="BS287" s="1468"/>
      <c r="BT287" s="1468"/>
    </row>
    <row r="288" spans="61:72" customFormat="1">
      <c r="BI288" s="1468"/>
      <c r="BJ288" s="1468"/>
      <c r="BK288" s="1468"/>
      <c r="BL288" s="1468"/>
      <c r="BM288" s="1468"/>
      <c r="BN288" s="1468"/>
      <c r="BO288" s="1468"/>
      <c r="BP288" s="1468"/>
      <c r="BQ288" s="1468"/>
      <c r="BR288" s="1468"/>
      <c r="BS288" s="1468"/>
      <c r="BT288" s="1468"/>
    </row>
    <row r="289" spans="61:72" customFormat="1">
      <c r="BI289" s="1468"/>
      <c r="BJ289" s="1468"/>
      <c r="BK289" s="1468"/>
      <c r="BL289" s="1468"/>
      <c r="BM289" s="1468"/>
      <c r="BN289" s="1468"/>
      <c r="BO289" s="1468"/>
      <c r="BP289" s="1468"/>
      <c r="BQ289" s="1468"/>
      <c r="BR289" s="1468"/>
      <c r="BS289" s="1468"/>
      <c r="BT289" s="1468"/>
    </row>
    <row r="290" spans="61:72" customFormat="1">
      <c r="BI290" s="1468"/>
      <c r="BJ290" s="1468"/>
      <c r="BK290" s="1468"/>
      <c r="BL290" s="1468"/>
      <c r="BM290" s="1468"/>
      <c r="BN290" s="1468"/>
      <c r="BO290" s="1468"/>
      <c r="BP290" s="1468"/>
      <c r="BQ290" s="1468"/>
      <c r="BR290" s="1468"/>
      <c r="BS290" s="1468"/>
      <c r="BT290" s="1468"/>
    </row>
    <row r="291" spans="61:72" customFormat="1">
      <c r="BI291" s="1468"/>
      <c r="BJ291" s="1468"/>
      <c r="BK291" s="1468"/>
      <c r="BL291" s="1468"/>
      <c r="BM291" s="1468"/>
      <c r="BN291" s="1468"/>
      <c r="BO291" s="1468"/>
      <c r="BP291" s="1468"/>
      <c r="BQ291" s="1468"/>
      <c r="BR291" s="1468"/>
      <c r="BS291" s="1468"/>
      <c r="BT291" s="1468"/>
    </row>
    <row r="292" spans="61:72" customFormat="1">
      <c r="BI292" s="1468"/>
      <c r="BJ292" s="1468"/>
      <c r="BK292" s="1468"/>
      <c r="BL292" s="1468"/>
      <c r="BM292" s="1468"/>
      <c r="BN292" s="1468"/>
      <c r="BO292" s="1468"/>
      <c r="BP292" s="1468"/>
      <c r="BQ292" s="1468"/>
      <c r="BR292" s="1468"/>
      <c r="BS292" s="1468"/>
      <c r="BT292" s="1468"/>
    </row>
    <row r="293" spans="61:72" customFormat="1">
      <c r="BI293" s="1468"/>
      <c r="BJ293" s="1468"/>
      <c r="BK293" s="1468"/>
      <c r="BL293" s="1468"/>
      <c r="BM293" s="1468"/>
      <c r="BN293" s="1468"/>
      <c r="BO293" s="1468"/>
      <c r="BP293" s="1468"/>
      <c r="BQ293" s="1468"/>
      <c r="BR293" s="1468"/>
      <c r="BS293" s="1468"/>
      <c r="BT293" s="1468"/>
    </row>
    <row r="294" spans="61:72" customFormat="1">
      <c r="BI294" s="1468"/>
      <c r="BJ294" s="1468"/>
      <c r="BK294" s="1468"/>
      <c r="BL294" s="1468"/>
      <c r="BM294" s="1468"/>
      <c r="BN294" s="1468"/>
      <c r="BO294" s="1468"/>
      <c r="BP294" s="1468"/>
      <c r="BQ294" s="1468"/>
      <c r="BR294" s="1468"/>
      <c r="BS294" s="1468"/>
      <c r="BT294" s="1468"/>
    </row>
    <row r="295" spans="61:72" customFormat="1">
      <c r="BI295" s="1468"/>
      <c r="BJ295" s="1468"/>
      <c r="BK295" s="1468"/>
      <c r="BL295" s="1468"/>
      <c r="BM295" s="1468"/>
      <c r="BN295" s="1468"/>
      <c r="BO295" s="1468"/>
      <c r="BP295" s="1468"/>
      <c r="BQ295" s="1468"/>
      <c r="BR295" s="1468"/>
      <c r="BS295" s="1468"/>
      <c r="BT295" s="1468"/>
    </row>
    <row r="296" spans="61:72" customFormat="1">
      <c r="BI296" s="1468"/>
      <c r="BJ296" s="1468"/>
      <c r="BK296" s="1468"/>
      <c r="BL296" s="1468"/>
      <c r="BM296" s="1468"/>
      <c r="BN296" s="1468"/>
      <c r="BO296" s="1468"/>
      <c r="BP296" s="1468"/>
      <c r="BQ296" s="1468"/>
      <c r="BR296" s="1468"/>
      <c r="BS296" s="1468"/>
      <c r="BT296" s="1468"/>
    </row>
    <row r="297" spans="61:72" customFormat="1">
      <c r="BI297" s="1468"/>
      <c r="BJ297" s="1468"/>
      <c r="BK297" s="1468"/>
      <c r="BL297" s="1468"/>
      <c r="BM297" s="1468"/>
      <c r="BN297" s="1468"/>
      <c r="BO297" s="1468"/>
      <c r="BP297" s="1468"/>
      <c r="BQ297" s="1468"/>
      <c r="BR297" s="1468"/>
      <c r="BS297" s="1468"/>
      <c r="BT297" s="1468"/>
    </row>
    <row r="298" spans="61:72" customFormat="1">
      <c r="BI298" s="1468"/>
      <c r="BJ298" s="1468"/>
      <c r="BK298" s="1468"/>
      <c r="BL298" s="1468"/>
      <c r="BM298" s="1468"/>
      <c r="BN298" s="1468"/>
      <c r="BO298" s="1468"/>
      <c r="BP298" s="1468"/>
      <c r="BQ298" s="1468"/>
      <c r="BR298" s="1468"/>
      <c r="BS298" s="1468"/>
      <c r="BT298" s="1468"/>
    </row>
    <row r="299" spans="61:72" customFormat="1">
      <c r="BI299" s="1468"/>
      <c r="BJ299" s="1468"/>
      <c r="BK299" s="1468"/>
      <c r="BL299" s="1468"/>
      <c r="BM299" s="1468"/>
      <c r="BN299" s="1468"/>
      <c r="BO299" s="1468"/>
      <c r="BP299" s="1468"/>
      <c r="BQ299" s="1468"/>
      <c r="BR299" s="1468"/>
      <c r="BS299" s="1468"/>
      <c r="BT299" s="1468"/>
    </row>
    <row r="300" spans="61:72" customFormat="1">
      <c r="BI300" s="1468"/>
      <c r="BJ300" s="1468"/>
      <c r="BK300" s="1468"/>
      <c r="BL300" s="1468"/>
      <c r="BM300" s="1468"/>
      <c r="BN300" s="1468"/>
      <c r="BO300" s="1468"/>
      <c r="BP300" s="1468"/>
      <c r="BQ300" s="1468"/>
      <c r="BR300" s="1468"/>
      <c r="BS300" s="1468"/>
      <c r="BT300" s="1468"/>
    </row>
    <row r="301" spans="61:72" customFormat="1">
      <c r="BI301" s="1468"/>
      <c r="BJ301" s="1468"/>
      <c r="BK301" s="1468"/>
      <c r="BL301" s="1468"/>
      <c r="BM301" s="1468"/>
      <c r="BN301" s="1468"/>
      <c r="BO301" s="1468"/>
      <c r="BP301" s="1468"/>
      <c r="BQ301" s="1468"/>
      <c r="BR301" s="1468"/>
      <c r="BS301" s="1468"/>
      <c r="BT301" s="1468"/>
    </row>
    <row r="302" spans="61:72" customFormat="1">
      <c r="BI302" s="1468"/>
      <c r="BJ302" s="1468"/>
      <c r="BK302" s="1468"/>
      <c r="BL302" s="1468"/>
      <c r="BM302" s="1468"/>
      <c r="BN302" s="1468"/>
      <c r="BO302" s="1468"/>
      <c r="BP302" s="1468"/>
      <c r="BQ302" s="1468"/>
      <c r="BR302" s="1468"/>
      <c r="BS302" s="1468"/>
      <c r="BT302" s="1468"/>
    </row>
    <row r="303" spans="61:72" customFormat="1">
      <c r="BI303" s="1468"/>
      <c r="BJ303" s="1468"/>
      <c r="BK303" s="1468"/>
      <c r="BL303" s="1468"/>
      <c r="BM303" s="1468"/>
      <c r="BN303" s="1468"/>
      <c r="BO303" s="1468"/>
      <c r="BP303" s="1468"/>
      <c r="BQ303" s="1468"/>
      <c r="BR303" s="1468"/>
      <c r="BS303" s="1468"/>
      <c r="BT303" s="1468"/>
    </row>
    <row r="304" spans="61:72" customFormat="1">
      <c r="BI304" s="1468"/>
      <c r="BJ304" s="1468"/>
      <c r="BK304" s="1468"/>
      <c r="BL304" s="1468"/>
      <c r="BM304" s="1468"/>
      <c r="BN304" s="1468"/>
      <c r="BO304" s="1468"/>
      <c r="BP304" s="1468"/>
      <c r="BQ304" s="1468"/>
      <c r="BR304" s="1468"/>
      <c r="BS304" s="1468"/>
      <c r="BT304" s="1468"/>
    </row>
    <row r="310" spans="3:12">
      <c r="C310" s="105"/>
      <c r="D310" s="106"/>
      <c r="E310" s="105"/>
      <c r="F310" s="105"/>
      <c r="G310" s="105"/>
      <c r="H310" s="107"/>
      <c r="I310" s="105"/>
      <c r="J310" s="105"/>
      <c r="K310" s="105"/>
      <c r="L310" s="107"/>
    </row>
    <row r="311" spans="3:12">
      <c r="C311" s="105"/>
      <c r="D311" s="106"/>
      <c r="E311" s="105"/>
      <c r="F311" s="105"/>
      <c r="G311" s="105"/>
      <c r="H311" s="107"/>
      <c r="I311" s="105"/>
      <c r="J311" s="105"/>
      <c r="K311" s="105"/>
      <c r="L311" s="107"/>
    </row>
    <row r="312" spans="3:12">
      <c r="C312" s="105"/>
      <c r="D312" s="106"/>
      <c r="E312" s="105"/>
      <c r="F312" s="105"/>
      <c r="G312" s="105"/>
      <c r="H312" s="107"/>
      <c r="I312" s="105"/>
      <c r="J312" s="105"/>
      <c r="K312" s="105"/>
      <c r="L312" s="107"/>
    </row>
    <row r="313" spans="3:12">
      <c r="C313" s="105"/>
      <c r="D313" s="106"/>
      <c r="E313" s="105"/>
      <c r="F313" s="105"/>
      <c r="G313" s="105"/>
      <c r="H313" s="107"/>
      <c r="I313" s="105"/>
      <c r="J313" s="105"/>
      <c r="K313" s="105"/>
      <c r="L313" s="107"/>
    </row>
    <row r="314" spans="3:12">
      <c r="C314" s="105"/>
      <c r="D314" s="106"/>
      <c r="E314" s="105"/>
      <c r="F314" s="105"/>
      <c r="G314" s="105"/>
      <c r="H314" s="107"/>
      <c r="I314" s="105"/>
      <c r="J314" s="105"/>
      <c r="K314" s="105"/>
      <c r="L314" s="107"/>
    </row>
    <row r="315" spans="3:12">
      <c r="C315" s="105"/>
      <c r="D315" s="106"/>
      <c r="E315" s="105"/>
      <c r="F315" s="105"/>
      <c r="G315" s="105"/>
      <c r="H315" s="107"/>
      <c r="I315" s="105"/>
      <c r="J315" s="105"/>
      <c r="K315" s="105"/>
      <c r="L315" s="107"/>
    </row>
    <row r="316" spans="3:12">
      <c r="C316" s="105"/>
      <c r="D316" s="106"/>
      <c r="E316" s="105"/>
      <c r="F316" s="105"/>
      <c r="G316" s="105"/>
      <c r="H316" s="107"/>
      <c r="I316" s="105"/>
      <c r="J316" s="105"/>
      <c r="K316" s="105"/>
      <c r="L316" s="107"/>
    </row>
    <row r="317" spans="3:12">
      <c r="C317" s="105"/>
      <c r="D317" s="106"/>
      <c r="E317" s="105"/>
      <c r="F317" s="105"/>
      <c r="G317" s="105"/>
      <c r="H317" s="107"/>
      <c r="I317" s="105"/>
      <c r="J317" s="105"/>
      <c r="K317" s="105"/>
      <c r="L317" s="107"/>
    </row>
    <row r="318" spans="3:12">
      <c r="C318" s="105"/>
      <c r="D318" s="106"/>
      <c r="E318" s="105"/>
      <c r="F318" s="105"/>
      <c r="G318" s="105"/>
      <c r="H318" s="107"/>
      <c r="I318" s="105"/>
      <c r="J318" s="105"/>
      <c r="K318" s="105"/>
      <c r="L318" s="107"/>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BQ24:BT24"/>
    <mergeCell ref="BI24:BL24"/>
    <mergeCell ref="BM24:BP24"/>
    <mergeCell ref="AS24:AV24"/>
    <mergeCell ref="AW24:AZ24"/>
    <mergeCell ref="BA24:BD24"/>
    <mergeCell ref="BE24:BH24"/>
    <mergeCell ref="C32:D32"/>
    <mergeCell ref="AK24:AN24"/>
    <mergeCell ref="AO24:AR24"/>
    <mergeCell ref="C33:D33"/>
    <mergeCell ref="U24:X24"/>
    <mergeCell ref="Y24:AB24"/>
    <mergeCell ref="AC24:AF24"/>
    <mergeCell ref="AG24:AJ24"/>
    <mergeCell ref="E24:H24"/>
    <mergeCell ref="I24:L24"/>
    <mergeCell ref="M24:P24"/>
    <mergeCell ref="Q24:T24"/>
  </mergeCells>
  <pageMargins left="0.25" right="0.25" top="0.25" bottom="0.25" header="0.5" footer="0.5"/>
  <pageSetup scale="47" fitToWidth="4" orientation="landscape" r:id="rId2"/>
  <colBreaks count="4" manualBreakCount="4">
    <brk id="20" max="1048575" man="1"/>
    <brk id="40" max="1048575" man="1"/>
    <brk id="56" max="1048575" man="1"/>
    <brk id="7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G18" sqref="G18"/>
    </sheetView>
  </sheetViews>
  <sheetFormatPr defaultRowHeight="1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905" t="s">
        <v>344</v>
      </c>
      <c r="B1" s="1905"/>
      <c r="C1" s="1905"/>
      <c r="D1" s="1905"/>
      <c r="E1" s="1905"/>
      <c r="F1" s="1905"/>
    </row>
    <row r="2" spans="1:8">
      <c r="A2" s="1"/>
    </row>
    <row r="3" spans="1:8" ht="15.75">
      <c r="A3" s="1907" t="s">
        <v>0</v>
      </c>
      <c r="B3" s="2025"/>
      <c r="C3" s="2025"/>
      <c r="D3" s="2025"/>
      <c r="E3" s="2025"/>
      <c r="F3" s="2025"/>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490</v>
      </c>
      <c r="D14" s="1"/>
      <c r="E14" s="7">
        <v>0</v>
      </c>
      <c r="F14" s="1"/>
    </row>
    <row r="17" spans="1:6">
      <c r="C17" t="s">
        <v>3</v>
      </c>
    </row>
    <row r="18" spans="1:6">
      <c r="A18" s="1">
        <v>112</v>
      </c>
      <c r="C18" s="1" t="s">
        <v>510</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7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4"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74A4-9B5A-4F49-BCBD-ACD7D598B196}">
  <dimension ref="A1:S204"/>
  <sheetViews>
    <sheetView topLeftCell="E91" zoomScale="56" zoomScaleNormal="56" zoomScaleSheetLayoutView="70" workbookViewId="0">
      <selection activeCell="T91" sqref="T91"/>
    </sheetView>
  </sheetViews>
  <sheetFormatPr defaultRowHeight="12.75"/>
  <cols>
    <col min="1" max="1" width="5.7109375" style="1199" customWidth="1"/>
    <col min="2" max="2" width="9.42578125" style="1554" customWidth="1"/>
    <col min="3" max="3" width="5.7109375" style="1199" customWidth="1"/>
    <col min="4" max="4" width="32.140625" style="1199" customWidth="1"/>
    <col min="5" max="5" width="14.42578125" style="1199" customWidth="1"/>
    <col min="6" max="6" width="21.85546875" style="1199" customWidth="1"/>
    <col min="7" max="7" width="15.140625" style="1199" customWidth="1"/>
    <col min="8" max="8" width="22.7109375" style="1199" customWidth="1"/>
    <col min="9" max="9" width="3.85546875" style="1199" customWidth="1"/>
    <col min="10" max="10" width="23.140625" style="1199" customWidth="1"/>
    <col min="11" max="11" width="21.85546875" style="1199" customWidth="1"/>
    <col min="12" max="12" width="24.5703125" style="1199" customWidth="1"/>
    <col min="13" max="13" width="3.85546875" style="1199" customWidth="1"/>
    <col min="14" max="14" width="19.7109375" style="1199" customWidth="1"/>
    <col min="15" max="15" width="25.42578125" style="1199" customWidth="1"/>
    <col min="16" max="16" width="24.7109375" style="1199" customWidth="1"/>
    <col min="17" max="17" width="25" style="1199" customWidth="1"/>
    <col min="18" max="18" width="26.5703125" style="1199" customWidth="1"/>
    <col min="19" max="19" width="3.85546875" style="1199" customWidth="1"/>
    <col min="20" max="16384" width="9.140625" style="1199"/>
  </cols>
  <sheetData>
    <row r="1" spans="1:19" ht="15.75">
      <c r="A1" s="1870" t="s">
        <v>344</v>
      </c>
      <c r="B1" s="1870"/>
      <c r="C1" s="1870"/>
      <c r="D1" s="1870"/>
      <c r="E1" s="1870"/>
      <c r="F1" s="1870"/>
      <c r="G1" s="1870"/>
      <c r="H1" s="1870"/>
      <c r="I1" s="1870"/>
      <c r="J1" s="1870"/>
      <c r="K1" s="1870"/>
      <c r="L1" s="1870"/>
      <c r="M1" s="1870"/>
      <c r="N1" s="1870"/>
      <c r="O1" s="1870"/>
      <c r="P1" s="1870"/>
      <c r="Q1" s="1870"/>
      <c r="R1" s="1870"/>
      <c r="S1" s="1551"/>
    </row>
    <row r="2" spans="1:19" ht="15.75">
      <c r="A2" s="1870" t="s">
        <v>1575</v>
      </c>
      <c r="B2" s="1870"/>
      <c r="C2" s="1870"/>
      <c r="D2" s="1870"/>
      <c r="E2" s="1870"/>
      <c r="F2" s="1870"/>
      <c r="G2" s="1870"/>
      <c r="H2" s="1870"/>
      <c r="I2" s="1870"/>
      <c r="J2" s="1870"/>
      <c r="K2" s="1870"/>
      <c r="L2" s="1870"/>
      <c r="M2" s="1870"/>
      <c r="N2" s="1870"/>
      <c r="O2" s="1870"/>
      <c r="P2" s="1870"/>
      <c r="Q2" s="1870"/>
      <c r="R2" s="1870"/>
      <c r="S2" s="1551"/>
    </row>
    <row r="3" spans="1:19" ht="15.75">
      <c r="A3" s="1870" t="s">
        <v>1576</v>
      </c>
      <c r="B3" s="1870"/>
      <c r="C3" s="1870"/>
      <c r="D3" s="1870"/>
      <c r="E3" s="1870"/>
      <c r="F3" s="1870"/>
      <c r="G3" s="1870"/>
      <c r="H3" s="1870"/>
      <c r="I3" s="1870"/>
      <c r="J3" s="1870"/>
      <c r="K3" s="1870"/>
      <c r="L3" s="1870"/>
      <c r="M3" s="1870"/>
      <c r="N3" s="1870"/>
      <c r="O3" s="1870"/>
      <c r="P3" s="1870"/>
      <c r="Q3" s="1870"/>
      <c r="R3" s="1870"/>
      <c r="S3" s="1551"/>
    </row>
    <row r="4" spans="1:19">
      <c r="A4" s="1551"/>
      <c r="B4" s="1552"/>
      <c r="C4" s="1551"/>
    </row>
    <row r="5" spans="1:19" s="1100" customFormat="1" ht="15">
      <c r="B5" s="1553"/>
      <c r="D5" s="1100" t="s">
        <v>1039</v>
      </c>
      <c r="E5" s="1102" t="s">
        <v>2007</v>
      </c>
      <c r="F5" s="1103"/>
      <c r="G5" s="1103"/>
      <c r="H5" s="1103"/>
    </row>
    <row r="6" spans="1:19">
      <c r="D6" s="1551"/>
    </row>
    <row r="7" spans="1:19">
      <c r="D7" s="1551" t="s">
        <v>1040</v>
      </c>
      <c r="J7" s="1862"/>
      <c r="K7" s="1862"/>
      <c r="L7" s="1862"/>
      <c r="N7" s="1862"/>
      <c r="O7" s="1862"/>
      <c r="P7" s="1862"/>
      <c r="Q7" s="1862"/>
      <c r="R7" s="1862"/>
    </row>
    <row r="8" spans="1:19">
      <c r="D8" s="1863" t="s">
        <v>1041</v>
      </c>
      <c r="E8" s="1864"/>
      <c r="F8" s="1864"/>
      <c r="G8" s="1864"/>
      <c r="H8" s="1865"/>
      <c r="I8" s="1555"/>
      <c r="J8" s="1866" t="s">
        <v>1577</v>
      </c>
      <c r="K8" s="1867"/>
      <c r="L8" s="1868"/>
      <c r="M8" s="1555"/>
      <c r="N8" s="1866" t="s">
        <v>1578</v>
      </c>
      <c r="O8" s="1867"/>
      <c r="P8" s="1867"/>
      <c r="Q8" s="1867"/>
      <c r="R8" s="1868"/>
      <c r="S8" s="1555"/>
    </row>
    <row r="9" spans="1:19">
      <c r="D9" s="1556" t="s">
        <v>216</v>
      </c>
      <c r="E9" s="1556" t="s">
        <v>217</v>
      </c>
      <c r="F9" s="1556" t="s">
        <v>1579</v>
      </c>
      <c r="G9" s="1556" t="s">
        <v>1580</v>
      </c>
      <c r="H9" s="1556" t="s">
        <v>1581</v>
      </c>
      <c r="I9" s="1555"/>
      <c r="J9" s="1556" t="s">
        <v>1582</v>
      </c>
      <c r="K9" s="1556" t="s">
        <v>1583</v>
      </c>
      <c r="L9" s="1556" t="s">
        <v>1584</v>
      </c>
      <c r="M9" s="1555"/>
      <c r="N9" s="1556" t="s">
        <v>1585</v>
      </c>
      <c r="O9" s="1556" t="s">
        <v>1586</v>
      </c>
      <c r="P9" s="1556" t="s">
        <v>1587</v>
      </c>
      <c r="Q9" s="1556" t="s">
        <v>1588</v>
      </c>
      <c r="R9" s="1556" t="s">
        <v>1589</v>
      </c>
      <c r="S9" s="1555"/>
    </row>
    <row r="10" spans="1:19" ht="63" customHeight="1">
      <c r="B10" s="1557" t="s">
        <v>1590</v>
      </c>
      <c r="D10" s="1558" t="s">
        <v>211</v>
      </c>
      <c r="E10" s="1558" t="s">
        <v>1042</v>
      </c>
      <c r="F10" s="1558" t="s">
        <v>1136</v>
      </c>
      <c r="G10" s="1558" t="s">
        <v>1135</v>
      </c>
      <c r="H10" s="1558" t="s">
        <v>1591</v>
      </c>
      <c r="I10" s="1736"/>
      <c r="J10" s="1558" t="s">
        <v>1045</v>
      </c>
      <c r="K10" s="1558" t="s">
        <v>1592</v>
      </c>
      <c r="L10" s="1558" t="s">
        <v>1593</v>
      </c>
      <c r="M10" s="1736"/>
      <c r="N10" s="1558" t="s">
        <v>1134</v>
      </c>
      <c r="O10" s="1558" t="s">
        <v>1594</v>
      </c>
      <c r="P10" s="1558" t="s">
        <v>1595</v>
      </c>
      <c r="Q10" s="1558" t="s">
        <v>1596</v>
      </c>
      <c r="R10" s="1558" t="s">
        <v>1597</v>
      </c>
      <c r="S10" s="1736"/>
    </row>
    <row r="11" spans="1:19">
      <c r="E11" s="1736"/>
      <c r="F11" s="1736"/>
      <c r="G11" s="1736"/>
      <c r="H11" s="1736"/>
      <c r="I11" s="1736"/>
      <c r="J11" s="1736"/>
      <c r="K11" s="1736"/>
      <c r="L11" s="1736"/>
      <c r="M11" s="1736"/>
      <c r="N11" s="1736"/>
      <c r="O11" s="1736"/>
      <c r="P11" s="1736"/>
      <c r="Q11" s="1736"/>
      <c r="R11" s="1736"/>
      <c r="S11" s="1736"/>
    </row>
    <row r="12" spans="1:19">
      <c r="B12" s="1554">
        <v>1</v>
      </c>
      <c r="D12" s="1199" t="s">
        <v>1133</v>
      </c>
      <c r="E12" s="1736"/>
      <c r="F12" s="1736"/>
      <c r="G12" s="1736"/>
      <c r="H12" s="1736"/>
      <c r="I12" s="1736"/>
      <c r="J12" s="1559" t="s">
        <v>1899</v>
      </c>
      <c r="K12" s="1736"/>
      <c r="L12" s="1559">
        <v>0</v>
      </c>
      <c r="M12" s="1736"/>
      <c r="N12" s="1559" t="s">
        <v>1899</v>
      </c>
      <c r="O12" s="1736"/>
      <c r="P12" s="1736"/>
      <c r="Q12" s="1736"/>
      <c r="R12" s="1559">
        <v>0</v>
      </c>
      <c r="S12" s="1736"/>
    </row>
    <row r="13" spans="1:19">
      <c r="E13" s="1736"/>
      <c r="F13" s="1736"/>
      <c r="G13" s="1736"/>
      <c r="H13" s="1736"/>
      <c r="I13" s="1736"/>
      <c r="J13" s="1736"/>
      <c r="K13" s="1736"/>
      <c r="L13" s="1736"/>
      <c r="M13" s="1736"/>
      <c r="N13" s="1736"/>
      <c r="O13" s="1736"/>
      <c r="P13" s="1736"/>
      <c r="Q13" s="1736"/>
      <c r="R13" s="1736"/>
      <c r="S13" s="1736"/>
    </row>
    <row r="14" spans="1:19">
      <c r="B14" s="1554">
        <f>B12+1</f>
        <v>2</v>
      </c>
      <c r="D14" s="1560" t="s">
        <v>636</v>
      </c>
      <c r="E14" s="1559">
        <v>31</v>
      </c>
      <c r="F14" s="1561">
        <v>0</v>
      </c>
      <c r="G14" s="1561">
        <v>214</v>
      </c>
      <c r="H14" s="1562">
        <f t="shared" ref="H14:H25" si="0">IF(F14=0,0.5,F14/G14)</f>
        <v>0.5</v>
      </c>
      <c r="I14" s="1563"/>
      <c r="J14" s="1559">
        <v>0</v>
      </c>
      <c r="K14" s="1564">
        <f t="shared" ref="K14:K25" si="1">+J14*H14</f>
        <v>0</v>
      </c>
      <c r="L14" s="1564">
        <f>+K14+L12</f>
        <v>0</v>
      </c>
      <c r="M14" s="1563"/>
      <c r="N14" s="1559">
        <v>0</v>
      </c>
      <c r="O14" s="1564">
        <f>IF($D$177="True-Up Adjustment",N14-J14,0)</f>
        <v>0</v>
      </c>
      <c r="P14" s="1564">
        <f>IF($D$177="True-Up Adjustment",IF(AND(J14&gt;=0,N14&gt;=0),IF(O14&gt;=0,K14+O14,N14/J14*K14),IF(AND(J14&lt;0,N14&lt;0),IF(O14&lt;0,K14+O14,N14/J14*K14),0)),0)</f>
        <v>0</v>
      </c>
      <c r="Q14" s="1564">
        <f t="shared" ref="Q14:Q25" si="2">IF(AND(J14&gt;=0,N14&lt;0),N14,IF(AND(J14&lt;0,N14&gt;=0),N14,0))</f>
        <v>0</v>
      </c>
      <c r="R14" s="1564">
        <f>+Q14+R12</f>
        <v>0</v>
      </c>
      <c r="S14" s="1563"/>
    </row>
    <row r="15" spans="1:19">
      <c r="B15" s="1554">
        <f t="shared" ref="B15:B26" si="3">+B14+1</f>
        <v>3</v>
      </c>
      <c r="D15" s="1560" t="s">
        <v>637</v>
      </c>
      <c r="E15" s="1559">
        <v>28</v>
      </c>
      <c r="F15" s="1561">
        <v>0</v>
      </c>
      <c r="G15" s="1561">
        <f t="shared" ref="G15:G25" si="4">G14</f>
        <v>214</v>
      </c>
      <c r="H15" s="1562">
        <f t="shared" si="0"/>
        <v>0.5</v>
      </c>
      <c r="I15" s="1563"/>
      <c r="J15" s="1559">
        <v>0</v>
      </c>
      <c r="K15" s="1564">
        <f>+J15*H15</f>
        <v>0</v>
      </c>
      <c r="L15" s="1564">
        <f t="shared" ref="L15:L25" si="5">+K15+L14</f>
        <v>0</v>
      </c>
      <c r="M15" s="1563"/>
      <c r="N15" s="1559">
        <v>0</v>
      </c>
      <c r="O15" s="1564">
        <f t="shared" ref="O15:O25" si="6">IF($D$177="True-Up Adjustment",N15-J15,0)</f>
        <v>0</v>
      </c>
      <c r="P15" s="1564">
        <f t="shared" ref="P15:P25" si="7">IF($D$177="True-Up Adjustment",IF(AND(J15&gt;=0,N15&gt;=0),IF(O15&gt;=0,K15+O15,N15/J15*K15),IF(AND(J15&lt;0,N15&lt;0),IF(O15&lt;0,K15+O15,N15/J15*K15),0)),0)</f>
        <v>0</v>
      </c>
      <c r="Q15" s="1564">
        <f t="shared" si="2"/>
        <v>0</v>
      </c>
      <c r="R15" s="1564">
        <f t="shared" ref="R15:R25" si="8">R14+P15+Q15</f>
        <v>0</v>
      </c>
      <c r="S15" s="1563"/>
    </row>
    <row r="16" spans="1:19">
      <c r="B16" s="1554">
        <f t="shared" si="3"/>
        <v>4</v>
      </c>
      <c r="D16" s="1560" t="s">
        <v>664</v>
      </c>
      <c r="E16" s="1559">
        <v>31</v>
      </c>
      <c r="F16" s="1561">
        <v>0</v>
      </c>
      <c r="G16" s="1561">
        <f t="shared" si="4"/>
        <v>214</v>
      </c>
      <c r="H16" s="1562">
        <f t="shared" si="0"/>
        <v>0.5</v>
      </c>
      <c r="I16" s="1563"/>
      <c r="J16" s="1559">
        <v>0</v>
      </c>
      <c r="K16" s="1564">
        <f t="shared" si="1"/>
        <v>0</v>
      </c>
      <c r="L16" s="1564">
        <f t="shared" si="5"/>
        <v>0</v>
      </c>
      <c r="M16" s="1563"/>
      <c r="N16" s="1559">
        <v>0</v>
      </c>
      <c r="O16" s="1564">
        <f t="shared" si="6"/>
        <v>0</v>
      </c>
      <c r="P16" s="1564">
        <f t="shared" si="7"/>
        <v>0</v>
      </c>
      <c r="Q16" s="1564">
        <f t="shared" si="2"/>
        <v>0</v>
      </c>
      <c r="R16" s="1564">
        <f t="shared" si="8"/>
        <v>0</v>
      </c>
      <c r="S16" s="1563"/>
    </row>
    <row r="17" spans="2:19">
      <c r="B17" s="1554">
        <f t="shared" si="3"/>
        <v>5</v>
      </c>
      <c r="D17" s="1560" t="s">
        <v>213</v>
      </c>
      <c r="E17" s="1559">
        <v>30</v>
      </c>
      <c r="F17" s="1561">
        <v>0</v>
      </c>
      <c r="G17" s="1561">
        <f t="shared" si="4"/>
        <v>214</v>
      </c>
      <c r="H17" s="1562">
        <f t="shared" si="0"/>
        <v>0.5</v>
      </c>
      <c r="I17" s="1563"/>
      <c r="J17" s="1559">
        <v>0</v>
      </c>
      <c r="K17" s="1564">
        <f t="shared" si="1"/>
        <v>0</v>
      </c>
      <c r="L17" s="1564">
        <f t="shared" si="5"/>
        <v>0</v>
      </c>
      <c r="M17" s="1563"/>
      <c r="N17" s="1559">
        <v>0</v>
      </c>
      <c r="O17" s="1564">
        <f t="shared" si="6"/>
        <v>0</v>
      </c>
      <c r="P17" s="1564">
        <f t="shared" si="7"/>
        <v>0</v>
      </c>
      <c r="Q17" s="1564">
        <f t="shared" si="2"/>
        <v>0</v>
      </c>
      <c r="R17" s="1564">
        <f t="shared" si="8"/>
        <v>0</v>
      </c>
      <c r="S17" s="1563"/>
    </row>
    <row r="18" spans="2:19">
      <c r="B18" s="1554">
        <f t="shared" si="3"/>
        <v>6</v>
      </c>
      <c r="D18" s="1560" t="s">
        <v>214</v>
      </c>
      <c r="E18" s="1559">
        <v>31</v>
      </c>
      <c r="F18" s="1561">
        <v>0</v>
      </c>
      <c r="G18" s="1561">
        <f t="shared" si="4"/>
        <v>214</v>
      </c>
      <c r="H18" s="1562">
        <f t="shared" si="0"/>
        <v>0.5</v>
      </c>
      <c r="I18" s="1563"/>
      <c r="J18" s="1559">
        <v>0</v>
      </c>
      <c r="K18" s="1564">
        <f t="shared" si="1"/>
        <v>0</v>
      </c>
      <c r="L18" s="1564">
        <f t="shared" si="5"/>
        <v>0</v>
      </c>
      <c r="M18" s="1563"/>
      <c r="N18" s="1559">
        <v>0</v>
      </c>
      <c r="O18" s="1564">
        <f t="shared" si="6"/>
        <v>0</v>
      </c>
      <c r="P18" s="1564">
        <f t="shared" si="7"/>
        <v>0</v>
      </c>
      <c r="Q18" s="1564">
        <f t="shared" si="2"/>
        <v>0</v>
      </c>
      <c r="R18" s="1564">
        <f t="shared" si="8"/>
        <v>0</v>
      </c>
      <c r="S18" s="1563"/>
    </row>
    <row r="19" spans="2:19">
      <c r="B19" s="1554">
        <f t="shared" si="3"/>
        <v>7</v>
      </c>
      <c r="D19" s="1560" t="s">
        <v>215</v>
      </c>
      <c r="E19" s="1559">
        <v>30</v>
      </c>
      <c r="F19" s="1561">
        <f t="shared" ref="F19:F24" si="9">E20+F20</f>
        <v>185</v>
      </c>
      <c r="G19" s="1561">
        <f t="shared" si="4"/>
        <v>214</v>
      </c>
      <c r="H19" s="1562">
        <f t="shared" si="0"/>
        <v>0.86448598130841126</v>
      </c>
      <c r="I19" s="1563"/>
      <c r="J19" s="1559">
        <v>0</v>
      </c>
      <c r="K19" s="1564">
        <f t="shared" si="1"/>
        <v>0</v>
      </c>
      <c r="L19" s="1564">
        <f t="shared" si="5"/>
        <v>0</v>
      </c>
      <c r="M19" s="1563"/>
      <c r="N19" s="1559">
        <v>0</v>
      </c>
      <c r="O19" s="1564">
        <f t="shared" si="6"/>
        <v>0</v>
      </c>
      <c r="P19" s="1564">
        <f t="shared" si="7"/>
        <v>0</v>
      </c>
      <c r="Q19" s="1564">
        <f t="shared" si="2"/>
        <v>0</v>
      </c>
      <c r="R19" s="1564">
        <f t="shared" si="8"/>
        <v>0</v>
      </c>
      <c r="S19" s="1563"/>
    </row>
    <row r="20" spans="2:19">
      <c r="B20" s="1554">
        <f t="shared" si="3"/>
        <v>8</v>
      </c>
      <c r="D20" s="1560" t="s">
        <v>639</v>
      </c>
      <c r="E20" s="1559">
        <v>31</v>
      </c>
      <c r="F20" s="1561">
        <f t="shared" si="9"/>
        <v>154</v>
      </c>
      <c r="G20" s="1561">
        <f t="shared" si="4"/>
        <v>214</v>
      </c>
      <c r="H20" s="1562">
        <f t="shared" si="0"/>
        <v>0.71962616822429903</v>
      </c>
      <c r="I20" s="1563"/>
      <c r="J20" s="1559">
        <v>0</v>
      </c>
      <c r="K20" s="1564">
        <f t="shared" si="1"/>
        <v>0</v>
      </c>
      <c r="L20" s="1564">
        <f t="shared" si="5"/>
        <v>0</v>
      </c>
      <c r="M20" s="1563"/>
      <c r="N20" s="1559">
        <v>0</v>
      </c>
      <c r="O20" s="1564">
        <f t="shared" si="6"/>
        <v>0</v>
      </c>
      <c r="P20" s="1564">
        <f t="shared" si="7"/>
        <v>0</v>
      </c>
      <c r="Q20" s="1564">
        <f t="shared" si="2"/>
        <v>0</v>
      </c>
      <c r="R20" s="1564">
        <f t="shared" si="8"/>
        <v>0</v>
      </c>
      <c r="S20" s="1563"/>
    </row>
    <row r="21" spans="2:19">
      <c r="B21" s="1554">
        <f t="shared" si="3"/>
        <v>9</v>
      </c>
      <c r="D21" s="1560" t="s">
        <v>665</v>
      </c>
      <c r="E21" s="1559">
        <v>31</v>
      </c>
      <c r="F21" s="1561">
        <f t="shared" si="9"/>
        <v>123</v>
      </c>
      <c r="G21" s="1561">
        <f t="shared" si="4"/>
        <v>214</v>
      </c>
      <c r="H21" s="1562">
        <f t="shared" si="0"/>
        <v>0.57476635514018692</v>
      </c>
      <c r="I21" s="1563"/>
      <c r="J21" s="1559">
        <v>0</v>
      </c>
      <c r="K21" s="1564">
        <f t="shared" si="1"/>
        <v>0</v>
      </c>
      <c r="L21" s="1564">
        <f t="shared" si="5"/>
        <v>0</v>
      </c>
      <c r="M21" s="1563"/>
      <c r="N21" s="1559">
        <v>0</v>
      </c>
      <c r="O21" s="1564">
        <f t="shared" si="6"/>
        <v>0</v>
      </c>
      <c r="P21" s="1564">
        <f t="shared" si="7"/>
        <v>0</v>
      </c>
      <c r="Q21" s="1564">
        <f t="shared" si="2"/>
        <v>0</v>
      </c>
      <c r="R21" s="1564">
        <f t="shared" si="8"/>
        <v>0</v>
      </c>
      <c r="S21" s="1563"/>
    </row>
    <row r="22" spans="2:19">
      <c r="B22" s="1554">
        <f t="shared" si="3"/>
        <v>10</v>
      </c>
      <c r="D22" s="1560" t="s">
        <v>641</v>
      </c>
      <c r="E22" s="1559">
        <v>30</v>
      </c>
      <c r="F22" s="1561">
        <f t="shared" si="9"/>
        <v>93</v>
      </c>
      <c r="G22" s="1561">
        <f t="shared" si="4"/>
        <v>214</v>
      </c>
      <c r="H22" s="1562">
        <f t="shared" si="0"/>
        <v>0.43457943925233644</v>
      </c>
      <c r="I22" s="1563"/>
      <c r="J22" s="1559">
        <v>0</v>
      </c>
      <c r="K22" s="1564">
        <f t="shared" si="1"/>
        <v>0</v>
      </c>
      <c r="L22" s="1564">
        <f t="shared" si="5"/>
        <v>0</v>
      </c>
      <c r="M22" s="1563"/>
      <c r="N22" s="1559">
        <v>0</v>
      </c>
      <c r="O22" s="1564">
        <f t="shared" si="6"/>
        <v>0</v>
      </c>
      <c r="P22" s="1564">
        <f t="shared" si="7"/>
        <v>0</v>
      </c>
      <c r="Q22" s="1564">
        <f t="shared" si="2"/>
        <v>0</v>
      </c>
      <c r="R22" s="1564">
        <f t="shared" si="8"/>
        <v>0</v>
      </c>
      <c r="S22" s="1563"/>
    </row>
    <row r="23" spans="2:19">
      <c r="B23" s="1554">
        <f t="shared" si="3"/>
        <v>11</v>
      </c>
      <c r="D23" s="1560" t="s">
        <v>642</v>
      </c>
      <c r="E23" s="1559">
        <v>31</v>
      </c>
      <c r="F23" s="1561">
        <f t="shared" si="9"/>
        <v>62</v>
      </c>
      <c r="G23" s="1561">
        <f t="shared" si="4"/>
        <v>214</v>
      </c>
      <c r="H23" s="1562">
        <f t="shared" si="0"/>
        <v>0.28971962616822428</v>
      </c>
      <c r="I23" s="1563"/>
      <c r="J23" s="1559">
        <v>0</v>
      </c>
      <c r="K23" s="1564">
        <f t="shared" si="1"/>
        <v>0</v>
      </c>
      <c r="L23" s="1564">
        <f t="shared" si="5"/>
        <v>0</v>
      </c>
      <c r="M23" s="1563"/>
      <c r="N23" s="1559">
        <v>0</v>
      </c>
      <c r="O23" s="1564">
        <f t="shared" si="6"/>
        <v>0</v>
      </c>
      <c r="P23" s="1564">
        <f t="shared" si="7"/>
        <v>0</v>
      </c>
      <c r="Q23" s="1564">
        <f t="shared" si="2"/>
        <v>0</v>
      </c>
      <c r="R23" s="1564">
        <f t="shared" si="8"/>
        <v>0</v>
      </c>
      <c r="S23" s="1563"/>
    </row>
    <row r="24" spans="2:19">
      <c r="B24" s="1554">
        <f t="shared" si="3"/>
        <v>12</v>
      </c>
      <c r="D24" s="1560" t="s">
        <v>643</v>
      </c>
      <c r="E24" s="1559">
        <v>30</v>
      </c>
      <c r="F24" s="1561">
        <f t="shared" si="9"/>
        <v>32</v>
      </c>
      <c r="G24" s="1561">
        <f t="shared" si="4"/>
        <v>214</v>
      </c>
      <c r="H24" s="1562">
        <f t="shared" si="0"/>
        <v>0.14953271028037382</v>
      </c>
      <c r="I24" s="1563"/>
      <c r="J24" s="1559">
        <v>0</v>
      </c>
      <c r="K24" s="1564">
        <f t="shared" si="1"/>
        <v>0</v>
      </c>
      <c r="L24" s="1564">
        <f t="shared" si="5"/>
        <v>0</v>
      </c>
      <c r="M24" s="1563"/>
      <c r="N24" s="1559">
        <v>0</v>
      </c>
      <c r="O24" s="1564">
        <f t="shared" si="6"/>
        <v>0</v>
      </c>
      <c r="P24" s="1564">
        <f t="shared" si="7"/>
        <v>0</v>
      </c>
      <c r="Q24" s="1564">
        <f t="shared" si="2"/>
        <v>0</v>
      </c>
      <c r="R24" s="1564">
        <f t="shared" si="8"/>
        <v>0</v>
      </c>
      <c r="S24" s="1563"/>
    </row>
    <row r="25" spans="2:19">
      <c r="B25" s="1554">
        <f t="shared" si="3"/>
        <v>13</v>
      </c>
      <c r="D25" s="1565" t="s">
        <v>869</v>
      </c>
      <c r="E25" s="1559">
        <v>31</v>
      </c>
      <c r="F25" s="1566">
        <v>1</v>
      </c>
      <c r="G25" s="1561">
        <f t="shared" si="4"/>
        <v>214</v>
      </c>
      <c r="H25" s="1562">
        <f t="shared" si="0"/>
        <v>4.6728971962616819E-3</v>
      </c>
      <c r="I25" s="1563"/>
      <c r="J25" s="1559">
        <v>0</v>
      </c>
      <c r="K25" s="1564">
        <f t="shared" si="1"/>
        <v>0</v>
      </c>
      <c r="L25" s="1564">
        <f t="shared" si="5"/>
        <v>0</v>
      </c>
      <c r="M25" s="1563"/>
      <c r="N25" s="1559">
        <v>0</v>
      </c>
      <c r="O25" s="1564">
        <f t="shared" si="6"/>
        <v>0</v>
      </c>
      <c r="P25" s="1564">
        <f t="shared" si="7"/>
        <v>0</v>
      </c>
      <c r="Q25" s="1564">
        <f t="shared" si="2"/>
        <v>0</v>
      </c>
      <c r="R25" s="1564">
        <f t="shared" si="8"/>
        <v>0</v>
      </c>
      <c r="S25" s="1563"/>
    </row>
    <row r="26" spans="2:19">
      <c r="B26" s="1554">
        <f t="shared" si="3"/>
        <v>14</v>
      </c>
      <c r="D26" s="1567" t="str">
        <f>"Total (Sum of Lines "&amp;B14&amp;" - "&amp;B25&amp;")"</f>
        <v>Total (Sum of Lines 2 - 13)</v>
      </c>
      <c r="E26" s="1568">
        <f>SUM(E14:E25)</f>
        <v>365</v>
      </c>
      <c r="F26" s="1569"/>
      <c r="G26" s="1569"/>
      <c r="H26" s="1570"/>
      <c r="I26" s="1571"/>
      <c r="J26" s="1568">
        <f>SUM(J14:J25)</f>
        <v>0</v>
      </c>
      <c r="K26" s="1568">
        <f>SUM(K14:K25)</f>
        <v>0</v>
      </c>
      <c r="L26" s="1572"/>
      <c r="M26" s="1571"/>
      <c r="N26" s="1568">
        <f>SUM(N14:N25)</f>
        <v>0</v>
      </c>
      <c r="O26" s="1568">
        <f>SUM(O14:O25)</f>
        <v>0</v>
      </c>
      <c r="P26" s="1568">
        <f>SUM(P14:P25)</f>
        <v>0</v>
      </c>
      <c r="Q26" s="1568">
        <f>SUM(Q14:Q25)</f>
        <v>0</v>
      </c>
      <c r="R26" s="1572"/>
      <c r="S26" s="1571"/>
    </row>
    <row r="27" spans="2:19">
      <c r="D27" s="1573"/>
      <c r="E27" s="1573"/>
      <c r="F27" s="1573"/>
      <c r="G27" s="1573"/>
      <c r="H27" s="1574"/>
      <c r="I27" s="1574"/>
      <c r="K27" s="1575"/>
      <c r="L27" s="1574"/>
      <c r="M27" s="1574"/>
      <c r="O27" s="1575"/>
      <c r="P27" s="1575"/>
      <c r="Q27" s="1575"/>
      <c r="R27" s="1574"/>
      <c r="S27" s="1574"/>
    </row>
    <row r="28" spans="2:19">
      <c r="B28" s="1554">
        <f>B26+1</f>
        <v>15</v>
      </c>
      <c r="D28" s="1199" t="s">
        <v>1046</v>
      </c>
      <c r="I28" s="1574"/>
      <c r="J28" s="1559" t="s">
        <v>1899</v>
      </c>
      <c r="L28" s="1559">
        <f>'1C - ADIT BOY'!E11</f>
        <v>4230945.8316455213</v>
      </c>
      <c r="M28" s="1576"/>
      <c r="N28" s="1559" t="s">
        <v>1899</v>
      </c>
      <c r="R28" s="1559">
        <f>'1C - ADIT BOY'!E11</f>
        <v>4230945.8316455213</v>
      </c>
    </row>
    <row r="29" spans="2:19">
      <c r="B29" s="1554">
        <f>B28+1</f>
        <v>16</v>
      </c>
      <c r="D29" s="1199" t="s">
        <v>1050</v>
      </c>
      <c r="I29" s="1574"/>
      <c r="J29" s="1577" t="s">
        <v>759</v>
      </c>
      <c r="L29" s="1578">
        <v>0</v>
      </c>
      <c r="M29" s="1579"/>
      <c r="N29" s="1577"/>
      <c r="R29" s="1578">
        <v>0</v>
      </c>
    </row>
    <row r="30" spans="2:19">
      <c r="B30" s="1554">
        <f>B29+1</f>
        <v>17</v>
      </c>
      <c r="D30" s="1199" t="s">
        <v>1047</v>
      </c>
      <c r="I30" s="1574"/>
      <c r="J30" s="1567" t="str">
        <f>"(Col. "&amp;L9&amp;", Line "&amp;B28&amp;" + Line "&amp;B29&amp;")"</f>
        <v>(Col. (H), Line 15 + Line 16)</v>
      </c>
      <c r="L30" s="1580">
        <f>L28+L29</f>
        <v>4230945.8316455213</v>
      </c>
      <c r="M30" s="1574"/>
      <c r="N30" s="1567" t="str">
        <f>"(Col. "&amp;R9&amp;", Line "&amp;B28&amp;" + Line "&amp;B29&amp;")"</f>
        <v>(Col. (M), Line 15 + Line 16)</v>
      </c>
      <c r="R30" s="1580">
        <f>R28+R29</f>
        <v>4230945.8316455213</v>
      </c>
    </row>
    <row r="31" spans="2:19">
      <c r="I31" s="1574"/>
      <c r="L31" s="1580"/>
      <c r="M31" s="1574"/>
      <c r="R31" s="1580"/>
    </row>
    <row r="32" spans="2:19">
      <c r="B32" s="1554">
        <f>B30+1</f>
        <v>18</v>
      </c>
      <c r="D32" s="1199" t="s">
        <v>1048</v>
      </c>
      <c r="I32" s="1574"/>
      <c r="J32" s="1559" t="s">
        <v>1995</v>
      </c>
      <c r="L32" s="1559">
        <f>'1B - ADIT EOY'!E11</f>
        <v>3954323.86023639</v>
      </c>
      <c r="M32" s="1576"/>
      <c r="N32" s="1559" t="s">
        <v>1995</v>
      </c>
      <c r="R32" s="1559">
        <f>'1B - ADIT EOY'!E11</f>
        <v>3954323.86023639</v>
      </c>
    </row>
    <row r="33" spans="2:19">
      <c r="B33" s="1554">
        <f>B32+1</f>
        <v>19</v>
      </c>
      <c r="D33" s="1199" t="s">
        <v>1051</v>
      </c>
      <c r="I33" s="1574"/>
      <c r="J33" s="1577" t="s">
        <v>759</v>
      </c>
      <c r="L33" s="1578">
        <v>0</v>
      </c>
      <c r="M33" s="1574"/>
      <c r="N33" s="1577"/>
      <c r="R33" s="1578">
        <v>0</v>
      </c>
    </row>
    <row r="34" spans="2:19">
      <c r="B34" s="1554">
        <f>B33+1</f>
        <v>20</v>
      </c>
      <c r="D34" s="1199" t="s">
        <v>1052</v>
      </c>
      <c r="G34" s="1567"/>
      <c r="I34" s="1574"/>
      <c r="J34" s="1567" t="str">
        <f>"(Col. "&amp;L9&amp;", Line "&amp;B32&amp;" + Line "&amp;B33&amp;")"</f>
        <v>(Col. (H), Line 18 + Line 19)</v>
      </c>
      <c r="L34" s="1580">
        <f>L32+L33</f>
        <v>3954323.86023639</v>
      </c>
      <c r="M34" s="1574"/>
      <c r="N34" s="1567" t="str">
        <f>"(Col. "&amp;R9&amp;", Line "&amp;B32&amp;" + Line "&amp;B33&amp;")"</f>
        <v>(Col. (M), Line 18 + Line 19)</v>
      </c>
      <c r="R34" s="1580">
        <f>R32+R33</f>
        <v>3954323.86023639</v>
      </c>
    </row>
    <row r="35" spans="2:19">
      <c r="I35" s="1574"/>
      <c r="L35" s="1580"/>
      <c r="M35" s="1574"/>
      <c r="R35" s="1580"/>
    </row>
    <row r="36" spans="2:19">
      <c r="B36" s="1554">
        <f>B34+1</f>
        <v>21</v>
      </c>
      <c r="D36" s="1199" t="s">
        <v>1131</v>
      </c>
      <c r="I36" s="1574"/>
      <c r="J36" s="1567" t="str">
        <f>"([Col. "&amp;L9&amp;", Line "&amp;B30&amp;" + Line "&amp;B34&amp;"] /2)"</f>
        <v>([Col. (H), Line 17 + Line 20] /2)</v>
      </c>
      <c r="L36" s="1564">
        <f>(L30+L34)/2</f>
        <v>4092634.8459409559</v>
      </c>
      <c r="M36" s="1574"/>
      <c r="N36" s="1567" t="str">
        <f>"([Col. "&amp;R9&amp;", Line "&amp;B30&amp;" + Line "&amp;B34&amp;"] /2)"</f>
        <v>([Col. (M), Line 17 + Line 20] /2)</v>
      </c>
      <c r="R36" s="1564">
        <f>(R30+R34)/2</f>
        <v>4092634.8459409559</v>
      </c>
    </row>
    <row r="37" spans="2:19">
      <c r="B37" s="1554">
        <f>B36+1</f>
        <v>22</v>
      </c>
      <c r="D37" s="1573" t="s">
        <v>1130</v>
      </c>
      <c r="E37" s="1573"/>
      <c r="F37" s="1573"/>
      <c r="G37" s="1573"/>
      <c r="H37" s="1574"/>
      <c r="I37" s="1574"/>
      <c r="J37" s="1567" t="str">
        <f>"(Col. "&amp;L9&amp;", Line "&amp;B25&amp;" )"</f>
        <v>(Col. (H), Line 13 )</v>
      </c>
      <c r="K37" s="1575"/>
      <c r="L37" s="1564">
        <f>L25</f>
        <v>0</v>
      </c>
      <c r="M37" s="1574"/>
      <c r="N37" s="1567" t="str">
        <f>"(Col. "&amp;R9&amp;", Line "&amp;B25&amp;" )"</f>
        <v>(Col. (M), Line 13 )</v>
      </c>
      <c r="R37" s="1564">
        <f>R25</f>
        <v>0</v>
      </c>
    </row>
    <row r="38" spans="2:19" ht="13.5" thickBot="1">
      <c r="B38" s="1554">
        <f>B37+1</f>
        <v>23</v>
      </c>
      <c r="D38" s="1581" t="s">
        <v>1598</v>
      </c>
      <c r="E38" s="1573"/>
      <c r="F38" s="1573"/>
      <c r="G38" s="1573"/>
      <c r="H38" s="1574"/>
      <c r="I38" s="1574"/>
      <c r="J38" s="1567" t="str">
        <f>"(Col. "&amp;L9&amp;", Line "&amp;B36&amp;" + Line "&amp;B37&amp;")"</f>
        <v>(Col. (H), Line 21 + Line 22)</v>
      </c>
      <c r="K38" s="1575"/>
      <c r="L38" s="1582">
        <f>L36+L37</f>
        <v>4092634.8459409559</v>
      </c>
      <c r="M38" s="1574"/>
      <c r="N38" s="1567" t="str">
        <f>"(Col. "&amp;R9&amp;", Line "&amp;B36&amp;" + Line "&amp;B37&amp;")"</f>
        <v>(Col. (M), Line 21 + Line 22)</v>
      </c>
      <c r="R38" s="1582">
        <f>R36+R37</f>
        <v>4092634.8459409559</v>
      </c>
    </row>
    <row r="39" spans="2:19">
      <c r="I39" s="1574"/>
      <c r="L39" s="1564"/>
      <c r="M39" s="1574"/>
      <c r="R39" s="1564"/>
      <c r="S39" s="1574"/>
    </row>
    <row r="40" spans="2:19">
      <c r="D40" s="1551" t="s">
        <v>1599</v>
      </c>
      <c r="J40" s="1583"/>
      <c r="K40" s="1584"/>
      <c r="L40" s="1584"/>
      <c r="N40" s="1584"/>
      <c r="O40" s="1584"/>
      <c r="P40" s="1584"/>
      <c r="Q40" s="1584"/>
      <c r="R40" s="1584"/>
    </row>
    <row r="41" spans="2:19">
      <c r="D41" s="1863" t="s">
        <v>1041</v>
      </c>
      <c r="E41" s="1864"/>
      <c r="F41" s="1864"/>
      <c r="G41" s="1864"/>
      <c r="H41" s="1865"/>
      <c r="I41" s="1555"/>
      <c r="J41" s="1866" t="s">
        <v>1577</v>
      </c>
      <c r="K41" s="1867"/>
      <c r="L41" s="1868"/>
      <c r="M41" s="1555"/>
      <c r="N41" s="1866" t="s">
        <v>1578</v>
      </c>
      <c r="O41" s="1867"/>
      <c r="P41" s="1867"/>
      <c r="Q41" s="1867"/>
      <c r="R41" s="1868"/>
      <c r="S41" s="1555"/>
    </row>
    <row r="42" spans="2:19">
      <c r="D42" s="1556" t="s">
        <v>216</v>
      </c>
      <c r="E42" s="1556" t="s">
        <v>217</v>
      </c>
      <c r="F42" s="1556" t="s">
        <v>1579</v>
      </c>
      <c r="G42" s="1556" t="s">
        <v>1580</v>
      </c>
      <c r="H42" s="1556" t="s">
        <v>1581</v>
      </c>
      <c r="I42" s="1555"/>
      <c r="J42" s="1556" t="s">
        <v>1582</v>
      </c>
      <c r="K42" s="1556" t="s">
        <v>1583</v>
      </c>
      <c r="L42" s="1556" t="s">
        <v>1584</v>
      </c>
      <c r="M42" s="1555"/>
      <c r="N42" s="1556" t="s">
        <v>1585</v>
      </c>
      <c r="O42" s="1556" t="s">
        <v>1586</v>
      </c>
      <c r="P42" s="1556" t="s">
        <v>1587</v>
      </c>
      <c r="Q42" s="1556" t="s">
        <v>1588</v>
      </c>
      <c r="R42" s="1556" t="s">
        <v>1589</v>
      </c>
      <c r="S42" s="1555"/>
    </row>
    <row r="43" spans="2:19" ht="51">
      <c r="B43" s="1557" t="s">
        <v>1590</v>
      </c>
      <c r="D43" s="1558" t="s">
        <v>211</v>
      </c>
      <c r="E43" s="1558" t="s">
        <v>1042</v>
      </c>
      <c r="F43" s="1558" t="s">
        <v>1043</v>
      </c>
      <c r="G43" s="1558" t="s">
        <v>1044</v>
      </c>
      <c r="H43" s="1558" t="s">
        <v>1591</v>
      </c>
      <c r="I43" s="1736"/>
      <c r="J43" s="1558" t="s">
        <v>1045</v>
      </c>
      <c r="K43" s="1558" t="s">
        <v>1592</v>
      </c>
      <c r="L43" s="1558" t="s">
        <v>1593</v>
      </c>
      <c r="M43" s="1736"/>
      <c r="N43" s="1558" t="s">
        <v>1134</v>
      </c>
      <c r="O43" s="1558" t="s">
        <v>1594</v>
      </c>
      <c r="P43" s="1558" t="s">
        <v>1595</v>
      </c>
      <c r="Q43" s="1558" t="s">
        <v>1596</v>
      </c>
      <c r="R43" s="1558" t="s">
        <v>1597</v>
      </c>
      <c r="S43" s="1736"/>
    </row>
    <row r="44" spans="2:19">
      <c r="E44" s="1736"/>
      <c r="F44" s="1736"/>
      <c r="G44" s="1736"/>
      <c r="H44" s="1736"/>
      <c r="I44" s="1736"/>
      <c r="J44" s="1736"/>
      <c r="K44" s="1736"/>
      <c r="L44" s="1736"/>
      <c r="M44" s="1736"/>
      <c r="N44" s="1736"/>
      <c r="O44" s="1736"/>
      <c r="P44" s="1736"/>
      <c r="Q44" s="1736"/>
      <c r="R44" s="1736"/>
      <c r="S44" s="1736"/>
    </row>
    <row r="45" spans="2:19">
      <c r="B45" s="1554">
        <f>B38+1</f>
        <v>24</v>
      </c>
      <c r="D45" s="1199" t="s">
        <v>1133</v>
      </c>
      <c r="E45" s="1736"/>
      <c r="F45" s="1736"/>
      <c r="G45" s="1736"/>
      <c r="H45" s="1736"/>
      <c r="I45" s="1736"/>
      <c r="J45" s="1559" t="s">
        <v>1899</v>
      </c>
      <c r="K45" s="1736"/>
      <c r="L45" s="1559">
        <v>0</v>
      </c>
      <c r="M45" s="1736"/>
      <c r="N45" s="1559" t="s">
        <v>1899</v>
      </c>
      <c r="O45" s="1736"/>
      <c r="P45" s="1736"/>
      <c r="Q45" s="1736"/>
      <c r="R45" s="1559">
        <v>0</v>
      </c>
      <c r="S45" s="1736"/>
    </row>
    <row r="46" spans="2:19">
      <c r="E46" s="1736"/>
      <c r="F46" s="1736"/>
      <c r="G46" s="1736"/>
      <c r="H46" s="1736"/>
      <c r="I46" s="1736"/>
      <c r="J46" s="1736"/>
      <c r="K46" s="1736"/>
      <c r="L46" s="1736"/>
      <c r="M46" s="1736"/>
      <c r="N46" s="1736"/>
      <c r="O46" s="1736"/>
      <c r="P46" s="1736"/>
      <c r="Q46" s="1736"/>
      <c r="R46" s="1736"/>
      <c r="S46" s="1736"/>
    </row>
    <row r="47" spans="2:19">
      <c r="B47" s="1554">
        <f>B45+1</f>
        <v>25</v>
      </c>
      <c r="D47" s="1560" t="s">
        <v>636</v>
      </c>
      <c r="E47" s="1559">
        <v>31</v>
      </c>
      <c r="F47" s="1561">
        <v>0</v>
      </c>
      <c r="G47" s="1561">
        <v>214</v>
      </c>
      <c r="H47" s="1562">
        <f t="shared" ref="H47:H58" si="10">IF(F47=0,0.5,F47/G47)</f>
        <v>0.5</v>
      </c>
      <c r="I47" s="1563"/>
      <c r="J47" s="1559"/>
      <c r="K47" s="1564">
        <f t="shared" ref="K47" si="11">+J47*H47</f>
        <v>0</v>
      </c>
      <c r="L47" s="1564">
        <f>+K47+L45</f>
        <v>0</v>
      </c>
      <c r="M47" s="1563"/>
      <c r="N47" s="1559">
        <v>0</v>
      </c>
      <c r="O47" s="1564">
        <f>IF($D$177="True-Up Adjustment",N47-J47,0)</f>
        <v>0</v>
      </c>
      <c r="P47" s="1564">
        <f>IF($D$177="True-Up Adjustment",IF(AND(J47&gt;=0,N47&gt;=0),IF(O47&gt;=0,K47+O47,N47/J47*K47),IF(AND(J47&lt;0,N47&lt;0),IF(O47&lt;0,K47+O47,N47/J47*K47),0)),0)</f>
        <v>0</v>
      </c>
      <c r="Q47" s="1564">
        <f t="shared" ref="Q47:Q58" si="12">IF(AND(J47&gt;=0,N47&lt;0),N47,IF(AND(J47&lt;0,N47&gt;=0),N47,0))</f>
        <v>0</v>
      </c>
      <c r="R47" s="1564">
        <f>R45+P47+Q47</f>
        <v>0</v>
      </c>
      <c r="S47" s="1563"/>
    </row>
    <row r="48" spans="2:19">
      <c r="B48" s="1554">
        <f t="shared" ref="B48:B59" si="13">+B47+1</f>
        <v>26</v>
      </c>
      <c r="D48" s="1560" t="s">
        <v>637</v>
      </c>
      <c r="E48" s="1559">
        <v>28</v>
      </c>
      <c r="F48" s="1561">
        <v>0</v>
      </c>
      <c r="G48" s="1561">
        <f t="shared" ref="G48:G58" si="14">G47</f>
        <v>214</v>
      </c>
      <c r="H48" s="1562">
        <f t="shared" si="10"/>
        <v>0.5</v>
      </c>
      <c r="I48" s="1563"/>
      <c r="J48" s="1559"/>
      <c r="K48" s="1564">
        <f>+J48*H48</f>
        <v>0</v>
      </c>
      <c r="L48" s="1564">
        <f t="shared" ref="L48:L58" si="15">+K48+L47</f>
        <v>0</v>
      </c>
      <c r="M48" s="1563"/>
      <c r="N48" s="1559">
        <v>0</v>
      </c>
      <c r="O48" s="1564">
        <f t="shared" ref="O48:O58" si="16">IF($D$177="True-Up Adjustment",N48-J48,0)</f>
        <v>0</v>
      </c>
      <c r="P48" s="1564">
        <f t="shared" ref="P48:P58" si="17">IF($D$177="True-Up Adjustment",IF(AND(J48&gt;=0,N48&gt;=0),IF(O48&gt;=0,K48+O48,N48/J48*K48),IF(AND(J48&lt;0,N48&lt;0),IF(O48&lt;0,K48+O48,N48/J48*K48),0)),0)</f>
        <v>0</v>
      </c>
      <c r="Q48" s="1564">
        <f t="shared" si="12"/>
        <v>0</v>
      </c>
      <c r="R48" s="1564">
        <f t="shared" ref="R48:R58" si="18">R47+P48+Q48</f>
        <v>0</v>
      </c>
      <c r="S48" s="1563"/>
    </row>
    <row r="49" spans="2:19">
      <c r="B49" s="1554">
        <f t="shared" si="13"/>
        <v>27</v>
      </c>
      <c r="D49" s="1560" t="s">
        <v>664</v>
      </c>
      <c r="E49" s="1559">
        <v>31</v>
      </c>
      <c r="F49" s="1561">
        <v>0</v>
      </c>
      <c r="G49" s="1561">
        <f t="shared" si="14"/>
        <v>214</v>
      </c>
      <c r="H49" s="1562">
        <f t="shared" si="10"/>
        <v>0.5</v>
      </c>
      <c r="I49" s="1563"/>
      <c r="J49" s="1559"/>
      <c r="K49" s="1564">
        <f t="shared" ref="K49:K58" si="19">+J49*H49</f>
        <v>0</v>
      </c>
      <c r="L49" s="1564">
        <f t="shared" si="15"/>
        <v>0</v>
      </c>
      <c r="M49" s="1563"/>
      <c r="N49" s="1559">
        <v>0</v>
      </c>
      <c r="O49" s="1564">
        <f t="shared" si="16"/>
        <v>0</v>
      </c>
      <c r="P49" s="1564">
        <f t="shared" si="17"/>
        <v>0</v>
      </c>
      <c r="Q49" s="1564">
        <f t="shared" si="12"/>
        <v>0</v>
      </c>
      <c r="R49" s="1564">
        <f t="shared" si="18"/>
        <v>0</v>
      </c>
      <c r="S49" s="1563"/>
    </row>
    <row r="50" spans="2:19">
      <c r="B50" s="1554">
        <f t="shared" si="13"/>
        <v>28</v>
      </c>
      <c r="D50" s="1560" t="s">
        <v>213</v>
      </c>
      <c r="E50" s="1559">
        <v>30</v>
      </c>
      <c r="F50" s="1561">
        <v>0</v>
      </c>
      <c r="G50" s="1561">
        <f t="shared" si="14"/>
        <v>214</v>
      </c>
      <c r="H50" s="1562">
        <f t="shared" si="10"/>
        <v>0.5</v>
      </c>
      <c r="I50" s="1563"/>
      <c r="J50" s="1559"/>
      <c r="K50" s="1564">
        <f t="shared" si="19"/>
        <v>0</v>
      </c>
      <c r="L50" s="1564">
        <f t="shared" si="15"/>
        <v>0</v>
      </c>
      <c r="M50" s="1563"/>
      <c r="N50" s="1559">
        <v>0</v>
      </c>
      <c r="O50" s="1564">
        <f t="shared" si="16"/>
        <v>0</v>
      </c>
      <c r="P50" s="1564">
        <f t="shared" si="17"/>
        <v>0</v>
      </c>
      <c r="Q50" s="1564">
        <f t="shared" si="12"/>
        <v>0</v>
      </c>
      <c r="R50" s="1564">
        <f t="shared" si="18"/>
        <v>0</v>
      </c>
      <c r="S50" s="1563"/>
    </row>
    <row r="51" spans="2:19">
      <c r="B51" s="1554">
        <f t="shared" si="13"/>
        <v>29</v>
      </c>
      <c r="D51" s="1560" t="s">
        <v>214</v>
      </c>
      <c r="E51" s="1559">
        <v>31</v>
      </c>
      <c r="F51" s="1561">
        <v>0</v>
      </c>
      <c r="G51" s="1561">
        <f t="shared" si="14"/>
        <v>214</v>
      </c>
      <c r="H51" s="1562">
        <f t="shared" si="10"/>
        <v>0.5</v>
      </c>
      <c r="I51" s="1563"/>
      <c r="J51" s="1559"/>
      <c r="K51" s="1564">
        <f t="shared" si="19"/>
        <v>0</v>
      </c>
      <c r="L51" s="1564">
        <f t="shared" si="15"/>
        <v>0</v>
      </c>
      <c r="M51" s="1563"/>
      <c r="N51" s="1559">
        <v>0</v>
      </c>
      <c r="O51" s="1564">
        <f t="shared" si="16"/>
        <v>0</v>
      </c>
      <c r="P51" s="1564">
        <f t="shared" si="17"/>
        <v>0</v>
      </c>
      <c r="Q51" s="1564">
        <f t="shared" si="12"/>
        <v>0</v>
      </c>
      <c r="R51" s="1564">
        <f t="shared" si="18"/>
        <v>0</v>
      </c>
      <c r="S51" s="1563"/>
    </row>
    <row r="52" spans="2:19">
      <c r="B52" s="1554">
        <f t="shared" si="13"/>
        <v>30</v>
      </c>
      <c r="D52" s="1560" t="s">
        <v>215</v>
      </c>
      <c r="E52" s="1559">
        <v>30</v>
      </c>
      <c r="F52" s="1561">
        <f t="shared" ref="F52:F57" si="20">E53+F53</f>
        <v>185</v>
      </c>
      <c r="G52" s="1561">
        <f t="shared" si="14"/>
        <v>214</v>
      </c>
      <c r="H52" s="1562">
        <f t="shared" si="10"/>
        <v>0.86448598130841126</v>
      </c>
      <c r="I52" s="1563"/>
      <c r="J52" s="1559"/>
      <c r="K52" s="1564">
        <f t="shared" si="19"/>
        <v>0</v>
      </c>
      <c r="L52" s="1564">
        <f t="shared" si="15"/>
        <v>0</v>
      </c>
      <c r="M52" s="1563"/>
      <c r="N52" s="1559">
        <v>0</v>
      </c>
      <c r="O52" s="1564">
        <f t="shared" si="16"/>
        <v>0</v>
      </c>
      <c r="P52" s="1564">
        <f t="shared" si="17"/>
        <v>0</v>
      </c>
      <c r="Q52" s="1564">
        <f t="shared" si="12"/>
        <v>0</v>
      </c>
      <c r="R52" s="1564">
        <f t="shared" si="18"/>
        <v>0</v>
      </c>
      <c r="S52" s="1563"/>
    </row>
    <row r="53" spans="2:19">
      <c r="B53" s="1554">
        <f t="shared" si="13"/>
        <v>31</v>
      </c>
      <c r="D53" s="1560" t="s">
        <v>639</v>
      </c>
      <c r="E53" s="1559">
        <v>31</v>
      </c>
      <c r="F53" s="1561">
        <f t="shared" si="20"/>
        <v>154</v>
      </c>
      <c r="G53" s="1561">
        <f t="shared" si="14"/>
        <v>214</v>
      </c>
      <c r="H53" s="1562">
        <f t="shared" si="10"/>
        <v>0.71962616822429903</v>
      </c>
      <c r="I53" s="1563"/>
      <c r="J53" s="1559"/>
      <c r="K53" s="1564">
        <f t="shared" si="19"/>
        <v>0</v>
      </c>
      <c r="L53" s="1564">
        <f t="shared" si="15"/>
        <v>0</v>
      </c>
      <c r="M53" s="1563"/>
      <c r="N53" s="1559">
        <v>0</v>
      </c>
      <c r="O53" s="1564">
        <f t="shared" si="16"/>
        <v>0</v>
      </c>
      <c r="P53" s="1564">
        <f t="shared" si="17"/>
        <v>0</v>
      </c>
      <c r="Q53" s="1564">
        <f t="shared" si="12"/>
        <v>0</v>
      </c>
      <c r="R53" s="1564">
        <f t="shared" si="18"/>
        <v>0</v>
      </c>
      <c r="S53" s="1563"/>
    </row>
    <row r="54" spans="2:19">
      <c r="B54" s="1554">
        <f t="shared" si="13"/>
        <v>32</v>
      </c>
      <c r="D54" s="1560" t="s">
        <v>665</v>
      </c>
      <c r="E54" s="1559">
        <v>31</v>
      </c>
      <c r="F54" s="1561">
        <f t="shared" si="20"/>
        <v>123</v>
      </c>
      <c r="G54" s="1561">
        <f t="shared" si="14"/>
        <v>214</v>
      </c>
      <c r="H54" s="1562">
        <f t="shared" si="10"/>
        <v>0.57476635514018692</v>
      </c>
      <c r="I54" s="1563"/>
      <c r="J54" s="1559"/>
      <c r="K54" s="1564">
        <f t="shared" si="19"/>
        <v>0</v>
      </c>
      <c r="L54" s="1564">
        <f t="shared" si="15"/>
        <v>0</v>
      </c>
      <c r="M54" s="1563"/>
      <c r="N54" s="1559">
        <v>0</v>
      </c>
      <c r="O54" s="1564">
        <f t="shared" si="16"/>
        <v>0</v>
      </c>
      <c r="P54" s="1564">
        <f t="shared" si="17"/>
        <v>0</v>
      </c>
      <c r="Q54" s="1564">
        <f t="shared" si="12"/>
        <v>0</v>
      </c>
      <c r="R54" s="1564">
        <f t="shared" si="18"/>
        <v>0</v>
      </c>
      <c r="S54" s="1563"/>
    </row>
    <row r="55" spans="2:19">
      <c r="B55" s="1554">
        <f t="shared" si="13"/>
        <v>33</v>
      </c>
      <c r="D55" s="1560" t="s">
        <v>641</v>
      </c>
      <c r="E55" s="1559">
        <v>30</v>
      </c>
      <c r="F55" s="1561">
        <f t="shared" si="20"/>
        <v>93</v>
      </c>
      <c r="G55" s="1561">
        <f t="shared" si="14"/>
        <v>214</v>
      </c>
      <c r="H55" s="1562">
        <f t="shared" si="10"/>
        <v>0.43457943925233644</v>
      </c>
      <c r="I55" s="1563"/>
      <c r="J55" s="1559"/>
      <c r="K55" s="1564">
        <f t="shared" si="19"/>
        <v>0</v>
      </c>
      <c r="L55" s="1564">
        <f t="shared" si="15"/>
        <v>0</v>
      </c>
      <c r="M55" s="1563"/>
      <c r="N55" s="1559">
        <v>0</v>
      </c>
      <c r="O55" s="1564">
        <f t="shared" si="16"/>
        <v>0</v>
      </c>
      <c r="P55" s="1564">
        <f t="shared" si="17"/>
        <v>0</v>
      </c>
      <c r="Q55" s="1564">
        <f t="shared" si="12"/>
        <v>0</v>
      </c>
      <c r="R55" s="1564">
        <f t="shared" si="18"/>
        <v>0</v>
      </c>
      <c r="S55" s="1563"/>
    </row>
    <row r="56" spans="2:19">
      <c r="B56" s="1554">
        <f t="shared" si="13"/>
        <v>34</v>
      </c>
      <c r="D56" s="1560" t="s">
        <v>642</v>
      </c>
      <c r="E56" s="1559">
        <v>31</v>
      </c>
      <c r="F56" s="1561">
        <f t="shared" si="20"/>
        <v>62</v>
      </c>
      <c r="G56" s="1561">
        <f t="shared" si="14"/>
        <v>214</v>
      </c>
      <c r="H56" s="1562">
        <f t="shared" si="10"/>
        <v>0.28971962616822428</v>
      </c>
      <c r="I56" s="1563"/>
      <c r="J56" s="1559"/>
      <c r="K56" s="1564">
        <f t="shared" si="19"/>
        <v>0</v>
      </c>
      <c r="L56" s="1564">
        <f t="shared" si="15"/>
        <v>0</v>
      </c>
      <c r="M56" s="1563"/>
      <c r="N56" s="1559">
        <v>0</v>
      </c>
      <c r="O56" s="1564">
        <f t="shared" si="16"/>
        <v>0</v>
      </c>
      <c r="P56" s="1564">
        <f t="shared" si="17"/>
        <v>0</v>
      </c>
      <c r="Q56" s="1564">
        <f t="shared" si="12"/>
        <v>0</v>
      </c>
      <c r="R56" s="1564">
        <f t="shared" si="18"/>
        <v>0</v>
      </c>
      <c r="S56" s="1563"/>
    </row>
    <row r="57" spans="2:19">
      <c r="B57" s="1554">
        <f t="shared" si="13"/>
        <v>35</v>
      </c>
      <c r="D57" s="1560" t="s">
        <v>643</v>
      </c>
      <c r="E57" s="1559">
        <v>30</v>
      </c>
      <c r="F57" s="1561">
        <f t="shared" si="20"/>
        <v>32</v>
      </c>
      <c r="G57" s="1561">
        <f t="shared" si="14"/>
        <v>214</v>
      </c>
      <c r="H57" s="1562">
        <f t="shared" si="10"/>
        <v>0.14953271028037382</v>
      </c>
      <c r="I57" s="1563"/>
      <c r="J57" s="1559"/>
      <c r="K57" s="1564">
        <f t="shared" si="19"/>
        <v>0</v>
      </c>
      <c r="L57" s="1564">
        <f t="shared" si="15"/>
        <v>0</v>
      </c>
      <c r="M57" s="1563"/>
      <c r="N57" s="1559">
        <v>0</v>
      </c>
      <c r="O57" s="1564">
        <f t="shared" si="16"/>
        <v>0</v>
      </c>
      <c r="P57" s="1564">
        <f t="shared" si="17"/>
        <v>0</v>
      </c>
      <c r="Q57" s="1564">
        <f t="shared" si="12"/>
        <v>0</v>
      </c>
      <c r="R57" s="1564">
        <f t="shared" si="18"/>
        <v>0</v>
      </c>
      <c r="S57" s="1563"/>
    </row>
    <row r="58" spans="2:19">
      <c r="B58" s="1554">
        <f t="shared" si="13"/>
        <v>36</v>
      </c>
      <c r="D58" s="1565" t="s">
        <v>869</v>
      </c>
      <c r="E58" s="1559">
        <v>31</v>
      </c>
      <c r="F58" s="1566">
        <v>1</v>
      </c>
      <c r="G58" s="1561">
        <f t="shared" si="14"/>
        <v>214</v>
      </c>
      <c r="H58" s="1562">
        <f t="shared" si="10"/>
        <v>4.6728971962616819E-3</v>
      </c>
      <c r="I58" s="1563"/>
      <c r="J58" s="1559"/>
      <c r="K58" s="1564">
        <f t="shared" si="19"/>
        <v>0</v>
      </c>
      <c r="L58" s="1564">
        <f t="shared" si="15"/>
        <v>0</v>
      </c>
      <c r="M58" s="1563"/>
      <c r="N58" s="1559">
        <v>0</v>
      </c>
      <c r="O58" s="1564">
        <f t="shared" si="16"/>
        <v>0</v>
      </c>
      <c r="P58" s="1564">
        <f t="shared" si="17"/>
        <v>0</v>
      </c>
      <c r="Q58" s="1564">
        <f t="shared" si="12"/>
        <v>0</v>
      </c>
      <c r="R58" s="1564">
        <f t="shared" si="18"/>
        <v>0</v>
      </c>
      <c r="S58" s="1563"/>
    </row>
    <row r="59" spans="2:19">
      <c r="B59" s="1554">
        <f t="shared" si="13"/>
        <v>37</v>
      </c>
      <c r="D59" s="1567" t="str">
        <f>"Total (Sum of Lines "&amp;B47&amp;" - "&amp;B58&amp;")"</f>
        <v>Total (Sum of Lines 25 - 36)</v>
      </c>
      <c r="E59" s="1568">
        <f>SUM(E47:E58)</f>
        <v>365</v>
      </c>
      <c r="F59" s="1569"/>
      <c r="G59" s="1569"/>
      <c r="H59" s="1570"/>
      <c r="I59" s="1571"/>
      <c r="J59" s="1568">
        <f>SUM(J47:J58)</f>
        <v>0</v>
      </c>
      <c r="K59" s="1568">
        <f>SUM(K47:K58)</f>
        <v>0</v>
      </c>
      <c r="L59" s="1568">
        <f>SUM(L47:L58)</f>
        <v>0</v>
      </c>
      <c r="M59" s="1571"/>
      <c r="N59" s="1568">
        <f>SUM(N47:N58)</f>
        <v>0</v>
      </c>
      <c r="O59" s="1568">
        <f>SUM(O47:O58)</f>
        <v>0</v>
      </c>
      <c r="P59" s="1568">
        <f>SUM(P47:P58)</f>
        <v>0</v>
      </c>
      <c r="Q59" s="1568">
        <f>SUM(Q47:Q58)</f>
        <v>0</v>
      </c>
      <c r="R59" s="1572"/>
      <c r="S59" s="1571"/>
    </row>
    <row r="60" spans="2:19">
      <c r="D60" s="1573"/>
      <c r="E60" s="1573"/>
      <c r="F60" s="1573"/>
      <c r="G60" s="1573"/>
      <c r="H60" s="1574"/>
      <c r="I60" s="1574"/>
      <c r="K60" s="1575"/>
      <c r="L60" s="1574"/>
      <c r="M60" s="1574"/>
      <c r="N60" s="1585"/>
      <c r="O60" s="1575"/>
      <c r="P60" s="1575"/>
      <c r="Q60" s="1575"/>
      <c r="R60" s="1574"/>
      <c r="S60" s="1574"/>
    </row>
    <row r="61" spans="2:19" ht="15" customHeight="1">
      <c r="B61" s="1554">
        <f>B59+1</f>
        <v>38</v>
      </c>
      <c r="D61" s="1199" t="s">
        <v>1046</v>
      </c>
      <c r="I61" s="1574"/>
      <c r="J61" s="1559" t="s">
        <v>1899</v>
      </c>
      <c r="L61" s="1559">
        <v>0</v>
      </c>
      <c r="M61" s="1576"/>
      <c r="N61" s="1559" t="s">
        <v>1899</v>
      </c>
      <c r="R61" s="1559">
        <v>0</v>
      </c>
    </row>
    <row r="62" spans="2:19">
      <c r="B62" s="1554">
        <f>B61+1</f>
        <v>39</v>
      </c>
      <c r="D62" s="1199" t="s">
        <v>1050</v>
      </c>
      <c r="I62" s="1574"/>
      <c r="J62" s="1577" t="s">
        <v>759</v>
      </c>
      <c r="L62" s="1578">
        <v>0</v>
      </c>
      <c r="M62" s="1579"/>
      <c r="N62" s="1577"/>
      <c r="R62" s="1578">
        <v>0</v>
      </c>
    </row>
    <row r="63" spans="2:19">
      <c r="B63" s="1554">
        <f>B62+1</f>
        <v>40</v>
      </c>
      <c r="D63" s="1199" t="s">
        <v>1047</v>
      </c>
      <c r="I63" s="1574"/>
      <c r="J63" s="1567" t="str">
        <f>"(Col. "&amp;L42&amp;", Line "&amp;B61&amp;" + Line "&amp;B62&amp;")"</f>
        <v>(Col. (H), Line 38 + Line 39)</v>
      </c>
      <c r="L63" s="1580">
        <f>L61+L62</f>
        <v>0</v>
      </c>
      <c r="M63" s="1574"/>
      <c r="N63" s="1567" t="str">
        <f>"(Col. "&amp;R42&amp;", Line "&amp;B61&amp;" + Line "&amp;B62&amp;")"</f>
        <v>(Col. (M), Line 38 + Line 39)</v>
      </c>
      <c r="R63" s="1580">
        <f>R61+R62</f>
        <v>0</v>
      </c>
    </row>
    <row r="64" spans="2:19">
      <c r="I64" s="1574"/>
      <c r="L64" s="1580"/>
      <c r="M64" s="1574"/>
      <c r="R64" s="1580"/>
    </row>
    <row r="65" spans="2:19">
      <c r="B65" s="1554">
        <f>B63+1</f>
        <v>41</v>
      </c>
      <c r="D65" s="1199" t="s">
        <v>1132</v>
      </c>
      <c r="I65" s="1574"/>
      <c r="J65" s="1559" t="s">
        <v>1995</v>
      </c>
      <c r="L65" s="1559">
        <v>0</v>
      </c>
      <c r="M65" s="1576"/>
      <c r="N65" s="1559" t="s">
        <v>1995</v>
      </c>
      <c r="R65" s="1559">
        <v>0</v>
      </c>
    </row>
    <row r="66" spans="2:19">
      <c r="B66" s="1554">
        <f>B65+1</f>
        <v>42</v>
      </c>
      <c r="D66" s="1199" t="s">
        <v>1051</v>
      </c>
      <c r="I66" s="1574"/>
      <c r="J66" s="1577" t="s">
        <v>759</v>
      </c>
      <c r="L66" s="1578">
        <v>0</v>
      </c>
      <c r="M66" s="1574"/>
      <c r="N66" s="1577"/>
      <c r="R66" s="1578">
        <v>0</v>
      </c>
    </row>
    <row r="67" spans="2:19">
      <c r="B67" s="1554">
        <f>B66+1</f>
        <v>43</v>
      </c>
      <c r="D67" s="1199" t="s">
        <v>1052</v>
      </c>
      <c r="I67" s="1574"/>
      <c r="J67" s="1567" t="str">
        <f>"(Col. "&amp;L42&amp;", Line "&amp;B65&amp;" + Line "&amp;B66&amp;")"</f>
        <v>(Col. (H), Line 41 + Line 42)</v>
      </c>
      <c r="L67" s="1580">
        <f>L65+L66</f>
        <v>0</v>
      </c>
      <c r="M67" s="1574"/>
      <c r="N67" s="1567" t="str">
        <f>"(Col. "&amp;R42&amp;", Line "&amp;B65&amp;" + Line "&amp;B66&amp;")"</f>
        <v>(Col. (M), Line 41 + Line 42)</v>
      </c>
      <c r="R67" s="1580">
        <f>R65+R66</f>
        <v>0</v>
      </c>
    </row>
    <row r="68" spans="2:19">
      <c r="I68" s="1574"/>
      <c r="L68" s="1580"/>
      <c r="M68" s="1574"/>
      <c r="R68" s="1580"/>
    </row>
    <row r="69" spans="2:19">
      <c r="B69" s="1554">
        <f>B67+1</f>
        <v>44</v>
      </c>
      <c r="D69" s="1199" t="s">
        <v>1131</v>
      </c>
      <c r="I69" s="1574"/>
      <c r="J69" s="1567" t="str">
        <f>"([Col. "&amp;L42&amp;", Line "&amp;B63&amp;" + Line "&amp;B67&amp;"] /2)"</f>
        <v>([Col. (H), Line 40 + Line 43] /2)</v>
      </c>
      <c r="L69" s="1564">
        <f>(L63+L67)/2</f>
        <v>0</v>
      </c>
      <c r="M69" s="1574"/>
      <c r="N69" s="1567" t="str">
        <f>"([Col. "&amp;R42&amp;", Line "&amp;B63&amp;" + Line "&amp;B67&amp;"] /2)"</f>
        <v>([Col. (M), Line 40 + Line 43] /2)</v>
      </c>
      <c r="R69" s="1564">
        <f>(R63+R67)/2</f>
        <v>0</v>
      </c>
    </row>
    <row r="70" spans="2:19">
      <c r="B70" s="1554">
        <f>B69+1</f>
        <v>45</v>
      </c>
      <c r="D70" s="1573" t="s">
        <v>1130</v>
      </c>
      <c r="E70" s="1573"/>
      <c r="F70" s="1573"/>
      <c r="G70" s="1573"/>
      <c r="H70" s="1574"/>
      <c r="I70" s="1574"/>
      <c r="J70" s="1567" t="str">
        <f>"(Col. "&amp;L42&amp;", Line "&amp;B58&amp;" )"</f>
        <v>(Col. (H), Line 36 )</v>
      </c>
      <c r="K70" s="1575"/>
      <c r="L70" s="1564">
        <f>L58</f>
        <v>0</v>
      </c>
      <c r="M70" s="1574"/>
      <c r="N70" s="1567" t="str">
        <f>"(Col. "&amp;R42&amp;", Line "&amp;B58&amp;" )"</f>
        <v>(Col. (M), Line 36 )</v>
      </c>
      <c r="R70" s="1564">
        <f>R58</f>
        <v>0</v>
      </c>
    </row>
    <row r="71" spans="2:19" ht="13.5" thickBot="1">
      <c r="B71" s="1554">
        <f>B70+1</f>
        <v>46</v>
      </c>
      <c r="D71" s="1581" t="s">
        <v>1600</v>
      </c>
      <c r="E71" s="1573"/>
      <c r="F71" s="1573"/>
      <c r="G71" s="1573"/>
      <c r="H71" s="1574"/>
      <c r="I71" s="1574"/>
      <c r="J71" s="1567" t="str">
        <f>"(Col. "&amp;L42&amp;", Line "&amp;B69&amp;" + Line "&amp;B70&amp;")"</f>
        <v>(Col. (H), Line 44 + Line 45)</v>
      </c>
      <c r="K71" s="1575"/>
      <c r="L71" s="1582">
        <f>L69+L70</f>
        <v>0</v>
      </c>
      <c r="M71" s="1574"/>
      <c r="N71" s="1567" t="str">
        <f>"(Col. "&amp;R42&amp;", Line "&amp;B69&amp;" + Line "&amp;B70&amp;")"</f>
        <v>(Col. (M), Line 44 + Line 45)</v>
      </c>
      <c r="R71" s="1582">
        <f>R69+R70</f>
        <v>0</v>
      </c>
    </row>
    <row r="72" spans="2:19">
      <c r="D72" s="1551"/>
    </row>
    <row r="73" spans="2:19">
      <c r="D73" s="1551" t="s">
        <v>1049</v>
      </c>
      <c r="J73" s="1583"/>
      <c r="K73" s="1584"/>
      <c r="L73" s="1584"/>
      <c r="N73" s="1584"/>
      <c r="O73" s="1584"/>
      <c r="P73" s="1584"/>
      <c r="Q73" s="1584"/>
      <c r="R73" s="1584"/>
    </row>
    <row r="74" spans="2:19">
      <c r="D74" s="1863" t="s">
        <v>1041</v>
      </c>
      <c r="E74" s="1864"/>
      <c r="F74" s="1864"/>
      <c r="G74" s="1864"/>
      <c r="H74" s="1865"/>
      <c r="I74" s="1555"/>
      <c r="J74" s="1866" t="s">
        <v>1577</v>
      </c>
      <c r="K74" s="1867"/>
      <c r="L74" s="1868"/>
      <c r="M74" s="1555"/>
      <c r="N74" s="1866" t="s">
        <v>1578</v>
      </c>
      <c r="O74" s="1867"/>
      <c r="P74" s="1867"/>
      <c r="Q74" s="1867"/>
      <c r="R74" s="1868"/>
      <c r="S74" s="1555"/>
    </row>
    <row r="75" spans="2:19">
      <c r="D75" s="1556" t="s">
        <v>216</v>
      </c>
      <c r="E75" s="1556" t="s">
        <v>217</v>
      </c>
      <c r="F75" s="1556" t="s">
        <v>1579</v>
      </c>
      <c r="G75" s="1556" t="s">
        <v>1580</v>
      </c>
      <c r="H75" s="1556" t="s">
        <v>1581</v>
      </c>
      <c r="I75" s="1555"/>
      <c r="J75" s="1556" t="s">
        <v>1582</v>
      </c>
      <c r="K75" s="1556" t="s">
        <v>1583</v>
      </c>
      <c r="L75" s="1556" t="s">
        <v>1584</v>
      </c>
      <c r="M75" s="1555"/>
      <c r="N75" s="1556" t="s">
        <v>1585</v>
      </c>
      <c r="O75" s="1556" t="s">
        <v>1586</v>
      </c>
      <c r="P75" s="1556" t="s">
        <v>1587</v>
      </c>
      <c r="Q75" s="1556" t="s">
        <v>1588</v>
      </c>
      <c r="R75" s="1556" t="s">
        <v>1589</v>
      </c>
      <c r="S75" s="1555"/>
    </row>
    <row r="76" spans="2:19" ht="51">
      <c r="B76" s="1557" t="s">
        <v>1590</v>
      </c>
      <c r="D76" s="1558" t="s">
        <v>211</v>
      </c>
      <c r="E76" s="1558" t="s">
        <v>1042</v>
      </c>
      <c r="F76" s="1558" t="s">
        <v>1043</v>
      </c>
      <c r="G76" s="1558" t="s">
        <v>1044</v>
      </c>
      <c r="H76" s="1558" t="s">
        <v>1591</v>
      </c>
      <c r="I76" s="1736"/>
      <c r="J76" s="1558" t="s">
        <v>1045</v>
      </c>
      <c r="K76" s="1558" t="s">
        <v>1592</v>
      </c>
      <c r="L76" s="1558" t="s">
        <v>1593</v>
      </c>
      <c r="M76" s="1736"/>
      <c r="N76" s="1558" t="s">
        <v>1134</v>
      </c>
      <c r="O76" s="1558" t="s">
        <v>1594</v>
      </c>
      <c r="P76" s="1558" t="s">
        <v>1595</v>
      </c>
      <c r="Q76" s="1558" t="s">
        <v>1596</v>
      </c>
      <c r="R76" s="1558" t="s">
        <v>1597</v>
      </c>
      <c r="S76" s="1736"/>
    </row>
    <row r="77" spans="2:19">
      <c r="E77" s="1736"/>
      <c r="F77" s="1736"/>
      <c r="G77" s="1736"/>
      <c r="H77" s="1736"/>
      <c r="I77" s="1736"/>
      <c r="J77" s="1736"/>
      <c r="K77" s="1736"/>
      <c r="L77" s="1736"/>
      <c r="M77" s="1736"/>
      <c r="N77" s="1736"/>
      <c r="O77" s="1736"/>
      <c r="P77" s="1736"/>
      <c r="Q77" s="1736"/>
      <c r="R77" s="1736"/>
      <c r="S77" s="1736"/>
    </row>
    <row r="78" spans="2:19">
      <c r="B78" s="1554">
        <f>B71+1</f>
        <v>47</v>
      </c>
      <c r="D78" s="1199" t="s">
        <v>1133</v>
      </c>
      <c r="E78" s="1736"/>
      <c r="F78" s="1736"/>
      <c r="G78" s="1736"/>
      <c r="H78" s="1736"/>
      <c r="I78" s="1736"/>
      <c r="J78" s="1559" t="s">
        <v>1899</v>
      </c>
      <c r="K78" s="1736"/>
      <c r="L78" s="1559">
        <f>'1C - ADIT BOY'!H173</f>
        <v>-91521496.389478132</v>
      </c>
      <c r="M78" s="1736"/>
      <c r="N78" s="1559" t="s">
        <v>1899</v>
      </c>
      <c r="O78" s="1736"/>
      <c r="P78" s="1736"/>
      <c r="Q78" s="1736"/>
      <c r="R78" s="1559">
        <f>'1C - ADIT BOY'!E173</f>
        <v>-91521496.389478132</v>
      </c>
      <c r="S78" s="1736"/>
    </row>
    <row r="79" spans="2:19">
      <c r="E79" s="1736"/>
      <c r="F79" s="1736"/>
      <c r="G79" s="1736"/>
      <c r="H79" s="1736"/>
      <c r="I79" s="1736"/>
      <c r="J79" s="1736"/>
      <c r="K79" s="1736"/>
      <c r="L79" s="1736"/>
      <c r="M79" s="1736"/>
      <c r="N79" s="1736"/>
      <c r="O79" s="1736"/>
      <c r="P79" s="1736"/>
      <c r="Q79" s="1736"/>
      <c r="R79" s="1736"/>
      <c r="S79" s="1736"/>
    </row>
    <row r="80" spans="2:19">
      <c r="B80" s="1554">
        <f>B78+1</f>
        <v>48</v>
      </c>
      <c r="D80" s="1560" t="s">
        <v>636</v>
      </c>
      <c r="E80" s="1559">
        <v>31</v>
      </c>
      <c r="F80" s="1561">
        <v>0</v>
      </c>
      <c r="G80" s="1561">
        <v>214</v>
      </c>
      <c r="H80" s="1562">
        <f>IF(F80=0,0.5,F80/G80)</f>
        <v>0.5</v>
      </c>
      <c r="I80" s="1563"/>
      <c r="J80" s="1559">
        <v>-57359.401844802225</v>
      </c>
      <c r="K80" s="1564">
        <f>+J80*H80</f>
        <v>-28679.700922401113</v>
      </c>
      <c r="L80" s="1564">
        <f>+K80+L78</f>
        <v>-91550176.090400532</v>
      </c>
      <c r="M80" s="1563"/>
      <c r="N80" s="1559">
        <v>-292018.46383240313</v>
      </c>
      <c r="O80" s="1564">
        <v>-234659.0619876009</v>
      </c>
      <c r="P80" s="1564">
        <f>IF($D$177="True-Up Adjustment",IF(AND(J80&gt;=0,N80&gt;=0),IF(O80&gt;=0,K80+O80,N80/J80*K80),IF(AND(J80&lt;0,N80&lt;0),IF(O80&lt;0,K80+O80,N80/J80*K80),0)),0)</f>
        <v>-263338.76291000203</v>
      </c>
      <c r="Q80" s="1564">
        <f t="shared" ref="Q80:Q91" si="21">IF(AND(J80&gt;=0,N80&lt;0),N80,IF(AND(J80&lt;0,N80&gt;=0),N80,0))</f>
        <v>0</v>
      </c>
      <c r="R80" s="1564">
        <f>R78+P80+Q80</f>
        <v>-91784835.152388141</v>
      </c>
      <c r="S80" s="1563"/>
    </row>
    <row r="81" spans="2:19">
      <c r="B81" s="1554">
        <f t="shared" ref="B81:B92" si="22">+B80+1</f>
        <v>49</v>
      </c>
      <c r="D81" s="1560" t="s">
        <v>637</v>
      </c>
      <c r="E81" s="1559">
        <v>28</v>
      </c>
      <c r="F81" s="1561">
        <v>0</v>
      </c>
      <c r="G81" s="1561">
        <f t="shared" ref="G81:G91" si="23">G80</f>
        <v>214</v>
      </c>
      <c r="H81" s="1562">
        <f t="shared" ref="H81:H91" si="24">IF(F81=0,0.5,F81/G81)</f>
        <v>0.5</v>
      </c>
      <c r="I81" s="1563"/>
      <c r="J81" s="1559">
        <v>-54713.463805054074</v>
      </c>
      <c r="K81" s="1564">
        <f>+J81*H81</f>
        <v>-27356.731902527037</v>
      </c>
      <c r="L81" s="1564">
        <f>+K81+L80</f>
        <v>-91577532.822303057</v>
      </c>
      <c r="M81" s="1563"/>
      <c r="N81" s="1559">
        <v>-289272.81947413855</v>
      </c>
      <c r="O81" s="1564">
        <v>-234559.35566908447</v>
      </c>
      <c r="P81" s="1564">
        <f t="shared" ref="P81:P91" si="25">IF($D$177="True-Up Adjustment",IF(AND(J81&gt;=0,N81&gt;=0),IF(O81&gt;=0,K81+O81,N81/J81*K81),IF(AND(J81&lt;0,N81&lt;0),IF(O81&lt;0,K81+O81,N81/J81*K81),0)),0)</f>
        <v>-261916.08757161151</v>
      </c>
      <c r="Q81" s="1564">
        <f t="shared" si="21"/>
        <v>0</v>
      </c>
      <c r="R81" s="1564">
        <f t="shared" ref="R81:R91" si="26">R80+P81+Q81</f>
        <v>-92046751.239959747</v>
      </c>
      <c r="S81" s="1563"/>
    </row>
    <row r="82" spans="2:19">
      <c r="B82" s="1554">
        <f t="shared" si="22"/>
        <v>50</v>
      </c>
      <c r="D82" s="1560" t="s">
        <v>664</v>
      </c>
      <c r="E82" s="1559">
        <v>31</v>
      </c>
      <c r="F82" s="1561">
        <v>0</v>
      </c>
      <c r="G82" s="1561">
        <f t="shared" si="23"/>
        <v>214</v>
      </c>
      <c r="H82" s="1562">
        <f t="shared" si="24"/>
        <v>0.5</v>
      </c>
      <c r="I82" s="1563"/>
      <c r="J82" s="1559">
        <v>-16791.637674206399</v>
      </c>
      <c r="K82" s="1564">
        <f t="shared" ref="K82:K91" si="27">+J82*H82</f>
        <v>-8395.8188371031993</v>
      </c>
      <c r="L82" s="1564">
        <f>+K82+L81</f>
        <v>-91585928.641140163</v>
      </c>
      <c r="M82" s="1563"/>
      <c r="N82" s="1559">
        <v>-299804.86170377949</v>
      </c>
      <c r="O82" s="1564">
        <v>-283013.22402957309</v>
      </c>
      <c r="P82" s="1564">
        <f t="shared" si="25"/>
        <v>-291409.04286667629</v>
      </c>
      <c r="Q82" s="1564">
        <f t="shared" si="21"/>
        <v>0</v>
      </c>
      <c r="R82" s="1564">
        <f t="shared" si="26"/>
        <v>-92338160.282826424</v>
      </c>
      <c r="S82" s="1563"/>
    </row>
    <row r="83" spans="2:19">
      <c r="B83" s="1554">
        <f t="shared" si="22"/>
        <v>51</v>
      </c>
      <c r="D83" s="1560" t="s">
        <v>213</v>
      </c>
      <c r="E83" s="1559">
        <v>30</v>
      </c>
      <c r="F83" s="1561">
        <v>0</v>
      </c>
      <c r="G83" s="1561">
        <f t="shared" si="23"/>
        <v>214</v>
      </c>
      <c r="H83" s="1562">
        <f t="shared" si="24"/>
        <v>0.5</v>
      </c>
      <c r="I83" s="1563"/>
      <c r="J83" s="1559">
        <v>-14557.934191781325</v>
      </c>
      <c r="K83" s="1564">
        <f t="shared" si="27"/>
        <v>-7278.9670958906627</v>
      </c>
      <c r="L83" s="1564">
        <f t="shared" ref="L83:L90" si="28">+K83+L82</f>
        <v>-91593207.60823606</v>
      </c>
      <c r="M83" s="1563"/>
      <c r="N83" s="1559">
        <v>-283786.51300669811</v>
      </c>
      <c r="O83" s="1564">
        <v>-269228.57881491678</v>
      </c>
      <c r="P83" s="1564">
        <f t="shared" si="25"/>
        <v>-276507.54591080744</v>
      </c>
      <c r="Q83" s="1564">
        <f t="shared" si="21"/>
        <v>0</v>
      </c>
      <c r="R83" s="1564">
        <f t="shared" si="26"/>
        <v>-92614667.828737229</v>
      </c>
      <c r="S83" s="1563"/>
    </row>
    <row r="84" spans="2:19">
      <c r="B84" s="1554">
        <f t="shared" si="22"/>
        <v>52</v>
      </c>
      <c r="D84" s="1560" t="s">
        <v>214</v>
      </c>
      <c r="E84" s="1559">
        <v>31</v>
      </c>
      <c r="F84" s="1561">
        <v>0</v>
      </c>
      <c r="G84" s="1561">
        <f t="shared" si="23"/>
        <v>214</v>
      </c>
      <c r="H84" s="1562">
        <f t="shared" si="24"/>
        <v>0.5</v>
      </c>
      <c r="I84" s="1563"/>
      <c r="J84" s="1559">
        <v>-9354.6483667967459</v>
      </c>
      <c r="K84" s="1564">
        <f t="shared" si="27"/>
        <v>-4677.324183398373</v>
      </c>
      <c r="L84" s="1564">
        <f t="shared" si="28"/>
        <v>-91597884.932419464</v>
      </c>
      <c r="M84" s="1563"/>
      <c r="N84" s="1559">
        <v>-278774.98360620503</v>
      </c>
      <c r="O84" s="1564">
        <v>-269420.3352394083</v>
      </c>
      <c r="P84" s="1564">
        <f t="shared" si="25"/>
        <v>-274097.6594228067</v>
      </c>
      <c r="Q84" s="1564">
        <f t="shared" si="21"/>
        <v>0</v>
      </c>
      <c r="R84" s="1564">
        <f t="shared" si="26"/>
        <v>-92888765.488160029</v>
      </c>
      <c r="S84" s="1563"/>
    </row>
    <row r="85" spans="2:19">
      <c r="B85" s="1554">
        <f t="shared" si="22"/>
        <v>53</v>
      </c>
      <c r="D85" s="1560" t="s">
        <v>215</v>
      </c>
      <c r="E85" s="1559">
        <v>30</v>
      </c>
      <c r="F85" s="1561">
        <f t="shared" ref="F85:F90" si="29">E86+F86</f>
        <v>185</v>
      </c>
      <c r="G85" s="1561">
        <f t="shared" si="23"/>
        <v>214</v>
      </c>
      <c r="H85" s="1562">
        <f t="shared" si="24"/>
        <v>0.86448598130841126</v>
      </c>
      <c r="I85" s="1563"/>
      <c r="J85" s="1559">
        <v>-5941.8124224172898</v>
      </c>
      <c r="K85" s="1564">
        <f t="shared" si="27"/>
        <v>-5136.6135427439194</v>
      </c>
      <c r="L85" s="1564">
        <f t="shared" si="28"/>
        <v>-91603021.545962214</v>
      </c>
      <c r="M85" s="1563"/>
      <c r="N85" s="1559">
        <v>-272101.41953361029</v>
      </c>
      <c r="O85" s="1564">
        <v>-266159.60711119301</v>
      </c>
      <c r="P85" s="1564">
        <f t="shared" si="25"/>
        <v>-271296.22065393691</v>
      </c>
      <c r="Q85" s="1564">
        <f t="shared" si="21"/>
        <v>0</v>
      </c>
      <c r="R85" s="1564">
        <f t="shared" si="26"/>
        <v>-93160061.708813965</v>
      </c>
      <c r="S85" s="1563"/>
    </row>
    <row r="86" spans="2:19">
      <c r="B86" s="1554">
        <f t="shared" si="22"/>
        <v>54</v>
      </c>
      <c r="D86" s="1560" t="s">
        <v>639</v>
      </c>
      <c r="E86" s="1559">
        <v>31</v>
      </c>
      <c r="F86" s="1561">
        <f t="shared" si="29"/>
        <v>154</v>
      </c>
      <c r="G86" s="1561">
        <f t="shared" si="23"/>
        <v>214</v>
      </c>
      <c r="H86" s="1562">
        <f t="shared" si="24"/>
        <v>0.71962616822429903</v>
      </c>
      <c r="I86" s="1563"/>
      <c r="J86" s="1559">
        <v>-3790.2766765357164</v>
      </c>
      <c r="K86" s="1564">
        <f t="shared" si="27"/>
        <v>-2727.5822812453284</v>
      </c>
      <c r="L86" s="1564">
        <f t="shared" si="28"/>
        <v>-91605749.128243461</v>
      </c>
      <c r="M86" s="1563"/>
      <c r="N86" s="1559">
        <v>-269245.4006079972</v>
      </c>
      <c r="O86" s="1564">
        <v>-265455.12393146148</v>
      </c>
      <c r="P86" s="1564">
        <f t="shared" si="25"/>
        <v>-268182.70621270681</v>
      </c>
      <c r="Q86" s="1564">
        <f t="shared" si="21"/>
        <v>0</v>
      </c>
      <c r="R86" s="1564">
        <f t="shared" si="26"/>
        <v>-93428244.415026665</v>
      </c>
      <c r="S86" s="1563"/>
    </row>
    <row r="87" spans="2:19">
      <c r="B87" s="1554">
        <f t="shared" si="22"/>
        <v>55</v>
      </c>
      <c r="D87" s="1560" t="s">
        <v>665</v>
      </c>
      <c r="E87" s="1559">
        <v>31</v>
      </c>
      <c r="F87" s="1561">
        <f t="shared" si="29"/>
        <v>123</v>
      </c>
      <c r="G87" s="1561">
        <f t="shared" si="23"/>
        <v>214</v>
      </c>
      <c r="H87" s="1562">
        <f t="shared" si="24"/>
        <v>0.57476635514018692</v>
      </c>
      <c r="I87" s="1563"/>
      <c r="J87" s="1559">
        <v>-1552.6238946479923</v>
      </c>
      <c r="K87" s="1564">
        <f t="shared" si="27"/>
        <v>-892.39597683038812</v>
      </c>
      <c r="L87" s="1564">
        <f t="shared" si="28"/>
        <v>-91606641.524220288</v>
      </c>
      <c r="M87" s="1563"/>
      <c r="N87" s="1559">
        <v>-266239.83074565476</v>
      </c>
      <c r="O87" s="1564">
        <v>-264687.20685100678</v>
      </c>
      <c r="P87" s="1564">
        <f t="shared" si="25"/>
        <v>-265579.60282783717</v>
      </c>
      <c r="Q87" s="1564">
        <f t="shared" si="21"/>
        <v>0</v>
      </c>
      <c r="R87" s="1564">
        <f t="shared" si="26"/>
        <v>-93693824.017854497</v>
      </c>
      <c r="S87" s="1563"/>
    </row>
    <row r="88" spans="2:19">
      <c r="B88" s="1554">
        <f t="shared" si="22"/>
        <v>56</v>
      </c>
      <c r="D88" s="1560" t="s">
        <v>641</v>
      </c>
      <c r="E88" s="1559">
        <v>30</v>
      </c>
      <c r="F88" s="1561">
        <f t="shared" si="29"/>
        <v>93</v>
      </c>
      <c r="G88" s="1561">
        <f t="shared" si="23"/>
        <v>214</v>
      </c>
      <c r="H88" s="1562">
        <f t="shared" si="24"/>
        <v>0.43457943925233644</v>
      </c>
      <c r="I88" s="1563"/>
      <c r="J88" s="1559">
        <v>2600.5419252377856</v>
      </c>
      <c r="K88" s="1564">
        <f t="shared" si="27"/>
        <v>1130.1420516220282</v>
      </c>
      <c r="L88" s="1564">
        <f t="shared" si="28"/>
        <v>-91605511.382168666</v>
      </c>
      <c r="M88" s="1563"/>
      <c r="N88" s="1559">
        <v>-269581.84097186301</v>
      </c>
      <c r="O88" s="1564">
        <v>-272182.38289710082</v>
      </c>
      <c r="P88" s="1564">
        <f t="shared" si="25"/>
        <v>0</v>
      </c>
      <c r="Q88" s="1564">
        <f t="shared" si="21"/>
        <v>-269581.84097186301</v>
      </c>
      <c r="R88" s="1564">
        <f t="shared" si="26"/>
        <v>-93963405.858826354</v>
      </c>
      <c r="S88" s="1563"/>
    </row>
    <row r="89" spans="2:19">
      <c r="B89" s="1554">
        <f t="shared" si="22"/>
        <v>57</v>
      </c>
      <c r="D89" s="1560" t="s">
        <v>642</v>
      </c>
      <c r="E89" s="1559">
        <v>31</v>
      </c>
      <c r="F89" s="1561">
        <f t="shared" si="29"/>
        <v>62</v>
      </c>
      <c r="G89" s="1561">
        <f t="shared" si="23"/>
        <v>214</v>
      </c>
      <c r="H89" s="1562">
        <f t="shared" si="24"/>
        <v>0.28971962616822428</v>
      </c>
      <c r="I89" s="1563"/>
      <c r="J89" s="1559">
        <v>4852.7094309838503</v>
      </c>
      <c r="K89" s="1564">
        <f t="shared" si="27"/>
        <v>1405.9251622476575</v>
      </c>
      <c r="L89" s="1564">
        <f>+K89+L88</f>
        <v>-91604105.457006425</v>
      </c>
      <c r="M89" s="1563"/>
      <c r="N89" s="1559">
        <v>-256194.89879169493</v>
      </c>
      <c r="O89" s="1564">
        <v>-261047.60822267877</v>
      </c>
      <c r="P89" s="1564">
        <f t="shared" si="25"/>
        <v>0</v>
      </c>
      <c r="Q89" s="1564">
        <f t="shared" si="21"/>
        <v>-256194.89879169493</v>
      </c>
      <c r="R89" s="1564">
        <f t="shared" si="26"/>
        <v>-94219600.757618055</v>
      </c>
      <c r="S89" s="1563"/>
    </row>
    <row r="90" spans="2:19">
      <c r="B90" s="1554">
        <f t="shared" si="22"/>
        <v>58</v>
      </c>
      <c r="D90" s="1560" t="s">
        <v>643</v>
      </c>
      <c r="E90" s="1559">
        <v>30</v>
      </c>
      <c r="F90" s="1561">
        <f t="shared" si="29"/>
        <v>32</v>
      </c>
      <c r="G90" s="1561">
        <f t="shared" si="23"/>
        <v>214</v>
      </c>
      <c r="H90" s="1562">
        <f t="shared" si="24"/>
        <v>0.14953271028037382</v>
      </c>
      <c r="I90" s="1563"/>
      <c r="J90" s="1559">
        <v>7630.2649085968887</v>
      </c>
      <c r="K90" s="1564">
        <f t="shared" si="27"/>
        <v>1140.9741919397215</v>
      </c>
      <c r="L90" s="1564">
        <f t="shared" si="28"/>
        <v>-91602964.482814491</v>
      </c>
      <c r="M90" s="1563"/>
      <c r="N90" s="1559">
        <v>-251953.72837320634</v>
      </c>
      <c r="O90" s="1564">
        <v>-259583.99328180324</v>
      </c>
      <c r="P90" s="1564">
        <f t="shared" si="25"/>
        <v>0</v>
      </c>
      <c r="Q90" s="1564">
        <f t="shared" si="21"/>
        <v>-251953.72837320634</v>
      </c>
      <c r="R90" s="1564">
        <f t="shared" si="26"/>
        <v>-94471554.485991254</v>
      </c>
      <c r="S90" s="1563"/>
    </row>
    <row r="91" spans="2:19">
      <c r="B91" s="1554">
        <f t="shared" si="22"/>
        <v>59</v>
      </c>
      <c r="D91" s="1565" t="s">
        <v>869</v>
      </c>
      <c r="E91" s="1559">
        <v>31</v>
      </c>
      <c r="F91" s="1566">
        <v>1</v>
      </c>
      <c r="G91" s="1561">
        <f t="shared" si="23"/>
        <v>214</v>
      </c>
      <c r="H91" s="1562">
        <f t="shared" si="24"/>
        <v>4.6728971962616819E-3</v>
      </c>
      <c r="I91" s="1563"/>
      <c r="J91" s="1559">
        <v>13862.534891635281</v>
      </c>
      <c r="K91" s="1564">
        <f t="shared" si="27"/>
        <v>64.77820042820224</v>
      </c>
      <c r="L91" s="1564">
        <f>+K91+L90</f>
        <v>-91602899.704614058</v>
      </c>
      <c r="M91" s="1563"/>
      <c r="N91" s="1559">
        <v>-6186.780751497824</v>
      </c>
      <c r="O91" s="1564">
        <v>-20049.315643133104</v>
      </c>
      <c r="P91" s="1564">
        <f t="shared" si="25"/>
        <v>0</v>
      </c>
      <c r="Q91" s="1564">
        <f t="shared" si="21"/>
        <v>-6186.780751497824</v>
      </c>
      <c r="R91" s="1564">
        <f t="shared" si="26"/>
        <v>-94477741.266742751</v>
      </c>
      <c r="S91" s="1563"/>
    </row>
    <row r="92" spans="2:19">
      <c r="B92" s="1554">
        <f t="shared" si="22"/>
        <v>60</v>
      </c>
      <c r="D92" s="1567" t="str">
        <f>"Total (Sum of Lines "&amp;B80&amp;" - "&amp;B91&amp;")"</f>
        <v>Total (Sum of Lines 48 - 59)</v>
      </c>
      <c r="E92" s="1568">
        <f>SUM(E80:E91)</f>
        <v>365</v>
      </c>
      <c r="F92" s="1569"/>
      <c r="G92" s="1569"/>
      <c r="H92" s="1570"/>
      <c r="I92" s="1571"/>
      <c r="J92" s="1568">
        <f>SUM(J80:J91)</f>
        <v>-135115.74771978799</v>
      </c>
      <c r="K92" s="1568">
        <f>SUM(K80:K91)</f>
        <v>-81403.31513590242</v>
      </c>
      <c r="L92" s="1568"/>
      <c r="M92" s="1571"/>
      <c r="N92" s="1568">
        <f>SUM(N80:N91)</f>
        <v>-3035161.5413987488</v>
      </c>
      <c r="O92" s="1568">
        <f>SUM(O80:O91)</f>
        <v>-2900045.7936789603</v>
      </c>
      <c r="P92" s="1568">
        <f>SUM(P80:P91)</f>
        <v>-2172327.6283763852</v>
      </c>
      <c r="Q92" s="1568">
        <f>SUM(Q80:Q91)</f>
        <v>-783917.24888826208</v>
      </c>
      <c r="R92" s="1572"/>
      <c r="S92" s="1571"/>
    </row>
    <row r="93" spans="2:19">
      <c r="D93" s="1573"/>
      <c r="E93" s="1573"/>
      <c r="F93" s="1573"/>
      <c r="G93" s="1573"/>
      <c r="H93" s="1574"/>
      <c r="I93" s="1574"/>
      <c r="K93" s="1575"/>
      <c r="L93" s="1574"/>
      <c r="M93" s="1574"/>
      <c r="N93" s="1585"/>
      <c r="O93" s="1575"/>
      <c r="P93" s="1575"/>
      <c r="Q93" s="1575"/>
      <c r="R93" s="1574"/>
      <c r="S93" s="1574"/>
    </row>
    <row r="94" spans="2:19" ht="15" customHeight="1">
      <c r="B94" s="1554">
        <f>B92+1</f>
        <v>61</v>
      </c>
      <c r="D94" s="1199" t="s">
        <v>1046</v>
      </c>
      <c r="I94" s="1574"/>
      <c r="J94" s="1559" t="s">
        <v>1899</v>
      </c>
      <c r="L94" s="1559">
        <f>'1C - ADIT BOY'!E13</f>
        <v>-127832552.84048045</v>
      </c>
      <c r="M94" s="1576"/>
      <c r="N94" s="1559" t="s">
        <v>1899</v>
      </c>
      <c r="R94" s="1559">
        <f>'1C - ADIT BOY'!E13</f>
        <v>-127832552.84048045</v>
      </c>
    </row>
    <row r="95" spans="2:19">
      <c r="B95" s="1554">
        <f>B94+1</f>
        <v>62</v>
      </c>
      <c r="D95" s="1199" t="s">
        <v>1050</v>
      </c>
      <c r="I95" s="1574"/>
      <c r="J95" s="1577" t="s">
        <v>759</v>
      </c>
      <c r="L95" s="1578">
        <v>0</v>
      </c>
      <c r="M95" s="1579"/>
      <c r="N95" s="1577"/>
      <c r="R95" s="1578">
        <v>0</v>
      </c>
    </row>
    <row r="96" spans="2:19">
      <c r="B96" s="1554">
        <f>B95+1</f>
        <v>63</v>
      </c>
      <c r="D96" s="1199" t="s">
        <v>1047</v>
      </c>
      <c r="I96" s="1574"/>
      <c r="J96" s="1567" t="str">
        <f>"(Col. "&amp;L75&amp;", Line "&amp;B94&amp;" + Line "&amp;B95&amp;")"</f>
        <v>(Col. (H), Line 61 + Line 62)</v>
      </c>
      <c r="L96" s="1580">
        <f>L94+L95</f>
        <v>-127832552.84048045</v>
      </c>
      <c r="M96" s="1574"/>
      <c r="N96" s="1567" t="str">
        <f>"(Col. "&amp;R75&amp;", Line "&amp;B94&amp;" + Line "&amp;B95&amp;")"</f>
        <v>(Col. (M), Line 61 + Line 62)</v>
      </c>
      <c r="R96" s="1580">
        <f>R94+R95</f>
        <v>-127832552.84048045</v>
      </c>
    </row>
    <row r="97" spans="2:19">
      <c r="I97" s="1574"/>
      <c r="L97" s="1580"/>
      <c r="M97" s="1574"/>
      <c r="R97" s="1580"/>
    </row>
    <row r="98" spans="2:19">
      <c r="B98" s="1554">
        <f>B96+1</f>
        <v>64</v>
      </c>
      <c r="D98" s="1199" t="s">
        <v>1132</v>
      </c>
      <c r="I98" s="1574"/>
      <c r="J98" s="1559" t="s">
        <v>1995</v>
      </c>
      <c r="L98" s="1559">
        <f>'1B - ADIT EOY'!E13</f>
        <v>-138442897.68603203</v>
      </c>
      <c r="M98" s="1576"/>
      <c r="N98" s="1559" t="s">
        <v>1995</v>
      </c>
      <c r="R98" s="1559">
        <f>'1B - ADIT EOY'!E13</f>
        <v>-138442897.68603203</v>
      </c>
    </row>
    <row r="99" spans="2:19">
      <c r="B99" s="1554">
        <f>B98+1</f>
        <v>65</v>
      </c>
      <c r="D99" s="1199" t="s">
        <v>1051</v>
      </c>
      <c r="I99" s="1574"/>
      <c r="J99" s="1577" t="s">
        <v>759</v>
      </c>
      <c r="L99" s="1578">
        <v>0</v>
      </c>
      <c r="M99" s="1574"/>
      <c r="N99" s="1577"/>
      <c r="R99" s="1578">
        <v>0</v>
      </c>
    </row>
    <row r="100" spans="2:19">
      <c r="B100" s="1554">
        <f>B99+1</f>
        <v>66</v>
      </c>
      <c r="D100" s="1199" t="s">
        <v>1052</v>
      </c>
      <c r="I100" s="1574"/>
      <c r="J100" s="1567" t="str">
        <f>"(Col. "&amp;L75&amp;", Line "&amp;B98&amp;" + Line "&amp;B99&amp;")"</f>
        <v>(Col. (H), Line 64 + Line 65)</v>
      </c>
      <c r="L100" s="1580">
        <f>L98+L99</f>
        <v>-138442897.68603203</v>
      </c>
      <c r="M100" s="1574"/>
      <c r="N100" s="1567" t="str">
        <f>"(Col. "&amp;R75&amp;", Line "&amp;B98&amp;" + Line "&amp;B99&amp;")"</f>
        <v>(Col. (M), Line 64 + Line 65)</v>
      </c>
      <c r="R100" s="1580">
        <f>R98+R99</f>
        <v>-138442897.68603203</v>
      </c>
    </row>
    <row r="101" spans="2:19">
      <c r="I101" s="1574"/>
      <c r="L101" s="1580"/>
      <c r="M101" s="1574"/>
      <c r="R101" s="1580"/>
    </row>
    <row r="102" spans="2:19">
      <c r="B102" s="1554">
        <f>B100+1</f>
        <v>67</v>
      </c>
      <c r="D102" s="1199" t="s">
        <v>1131</v>
      </c>
      <c r="I102" s="1574"/>
      <c r="J102" s="1567" t="str">
        <f>"([Col. "&amp;L75&amp;", Line "&amp;B96&amp;" + Line "&amp;B100&amp;"] /2)"</f>
        <v>([Col. (H), Line 63 + Line 66] /2)</v>
      </c>
      <c r="L102" s="1564">
        <f>(L96+L100)/2</f>
        <v>-133137725.26325624</v>
      </c>
      <c r="M102" s="1574"/>
      <c r="N102" s="1567" t="str">
        <f>"([Col. "&amp;R75&amp;", Line "&amp;B96&amp;" + Line "&amp;B100&amp;"] /2)"</f>
        <v>([Col. (M), Line 63 + Line 66] /2)</v>
      </c>
      <c r="R102" s="1564">
        <f>(R96+R100)/2</f>
        <v>-133137725.26325624</v>
      </c>
    </row>
    <row r="103" spans="2:19">
      <c r="B103" s="1554">
        <f>B102+1</f>
        <v>68</v>
      </c>
      <c r="D103" s="1573" t="s">
        <v>1130</v>
      </c>
      <c r="E103" s="1573"/>
      <c r="F103" s="1573"/>
      <c r="G103" s="1573"/>
      <c r="H103" s="1574"/>
      <c r="I103" s="1574"/>
      <c r="J103" s="1567" t="str">
        <f>"(Col. "&amp;L75&amp;", Line "&amp;B91&amp;" )"</f>
        <v>(Col. (H), Line 59 )</v>
      </c>
      <c r="K103" s="1575"/>
      <c r="L103" s="1564">
        <f>L91</f>
        <v>-91602899.704614058</v>
      </c>
      <c r="M103" s="1574"/>
      <c r="N103" s="1567" t="str">
        <f>"(Col. "&amp;R75&amp;", Line "&amp;B91&amp;" )"</f>
        <v>(Col. (M), Line 59 )</v>
      </c>
      <c r="R103" s="1564">
        <f>R91</f>
        <v>-94477741.266742751</v>
      </c>
    </row>
    <row r="104" spans="2:19" ht="13.5" thickBot="1">
      <c r="B104" s="1554">
        <f>B103+1</f>
        <v>69</v>
      </c>
      <c r="D104" s="1581" t="s">
        <v>1601</v>
      </c>
      <c r="E104" s="1573"/>
      <c r="F104" s="1573"/>
      <c r="G104" s="1573"/>
      <c r="H104" s="1574"/>
      <c r="I104" s="1574"/>
      <c r="J104" s="1567" t="str">
        <f>"(Col. "&amp;L75&amp;", Line "&amp;B102&amp;" + Line "&amp;B103&amp;")"</f>
        <v>(Col. (H), Line 67 + Line 68)</v>
      </c>
      <c r="K104" s="1575"/>
      <c r="L104" s="1582">
        <f>L102+L103</f>
        <v>-224740624.9678703</v>
      </c>
      <c r="M104" s="1574"/>
      <c r="N104" s="1567" t="str">
        <f>"(Col. "&amp;R75&amp;", Line "&amp;B102&amp;" + Line "&amp;B103&amp;")"</f>
        <v>(Col. (M), Line 67 + Line 68)</v>
      </c>
      <c r="R104" s="1582">
        <f>R102+R103</f>
        <v>-227615466.52999899</v>
      </c>
    </row>
    <row r="105" spans="2:19">
      <c r="D105" s="1551"/>
    </row>
    <row r="106" spans="2:19">
      <c r="D106" s="1551" t="s">
        <v>1053</v>
      </c>
      <c r="J106" s="1862"/>
      <c r="K106" s="1862"/>
      <c r="L106" s="1862"/>
      <c r="N106" s="1862"/>
      <c r="O106" s="1862"/>
      <c r="P106" s="1862"/>
      <c r="Q106" s="1862"/>
      <c r="R106" s="1862"/>
    </row>
    <row r="107" spans="2:19">
      <c r="D107" s="1863" t="s">
        <v>1041</v>
      </c>
      <c r="E107" s="1864"/>
      <c r="F107" s="1864"/>
      <c r="G107" s="1864"/>
      <c r="H107" s="1865"/>
      <c r="I107" s="1555"/>
      <c r="J107" s="1866" t="s">
        <v>1577</v>
      </c>
      <c r="K107" s="1867"/>
      <c r="L107" s="1868"/>
      <c r="M107" s="1555"/>
      <c r="N107" s="1866" t="s">
        <v>1578</v>
      </c>
      <c r="O107" s="1867"/>
      <c r="P107" s="1867"/>
      <c r="Q107" s="1867"/>
      <c r="R107" s="1868"/>
      <c r="S107" s="1555"/>
    </row>
    <row r="108" spans="2:19">
      <c r="D108" s="1556" t="s">
        <v>216</v>
      </c>
      <c r="E108" s="1556" t="s">
        <v>217</v>
      </c>
      <c r="F108" s="1556" t="s">
        <v>1579</v>
      </c>
      <c r="G108" s="1556" t="s">
        <v>1580</v>
      </c>
      <c r="H108" s="1556" t="s">
        <v>1581</v>
      </c>
      <c r="I108" s="1555"/>
      <c r="J108" s="1556" t="s">
        <v>1582</v>
      </c>
      <c r="K108" s="1556" t="s">
        <v>1583</v>
      </c>
      <c r="L108" s="1556" t="s">
        <v>1584</v>
      </c>
      <c r="M108" s="1555"/>
      <c r="N108" s="1556" t="s">
        <v>1585</v>
      </c>
      <c r="O108" s="1556" t="s">
        <v>1586</v>
      </c>
      <c r="P108" s="1556" t="s">
        <v>1587</v>
      </c>
      <c r="Q108" s="1556" t="s">
        <v>1588</v>
      </c>
      <c r="R108" s="1556" t="s">
        <v>1589</v>
      </c>
      <c r="S108" s="1555"/>
    </row>
    <row r="109" spans="2:19" ht="51">
      <c r="B109" s="1557" t="s">
        <v>1590</v>
      </c>
      <c r="D109" s="1558" t="s">
        <v>211</v>
      </c>
      <c r="E109" s="1558" t="s">
        <v>1042</v>
      </c>
      <c r="F109" s="1558" t="s">
        <v>1043</v>
      </c>
      <c r="G109" s="1558" t="s">
        <v>1044</v>
      </c>
      <c r="H109" s="1558" t="s">
        <v>1591</v>
      </c>
      <c r="I109" s="1736"/>
      <c r="J109" s="1558" t="s">
        <v>1045</v>
      </c>
      <c r="K109" s="1558" t="s">
        <v>1592</v>
      </c>
      <c r="L109" s="1558" t="s">
        <v>1593</v>
      </c>
      <c r="M109" s="1736"/>
      <c r="N109" s="1558" t="s">
        <v>1134</v>
      </c>
      <c r="O109" s="1558" t="s">
        <v>1594</v>
      </c>
      <c r="P109" s="1558" t="s">
        <v>1595</v>
      </c>
      <c r="Q109" s="1558" t="s">
        <v>1596</v>
      </c>
      <c r="R109" s="1558" t="s">
        <v>1597</v>
      </c>
      <c r="S109" s="1736"/>
    </row>
    <row r="110" spans="2:19">
      <c r="E110" s="1736"/>
      <c r="F110" s="1736"/>
      <c r="G110" s="1736"/>
      <c r="H110" s="1736"/>
      <c r="I110" s="1736"/>
      <c r="J110" s="1736"/>
      <c r="K110" s="1736"/>
      <c r="L110" s="1736"/>
      <c r="M110" s="1736"/>
      <c r="N110" s="1736"/>
      <c r="O110" s="1736"/>
      <c r="P110" s="1736"/>
      <c r="Q110" s="1736"/>
      <c r="R110" s="1736"/>
      <c r="S110" s="1736"/>
    </row>
    <row r="111" spans="2:19">
      <c r="B111" s="1554">
        <f>B104+1</f>
        <v>70</v>
      </c>
      <c r="D111" s="1199" t="s">
        <v>1133</v>
      </c>
      <c r="E111" s="1736"/>
      <c r="F111" s="1736"/>
      <c r="G111" s="1736"/>
      <c r="H111" s="1736"/>
      <c r="I111" s="1736"/>
      <c r="J111" s="1559" t="s">
        <v>1899</v>
      </c>
      <c r="K111" s="1736"/>
      <c r="L111" s="1559">
        <v>0</v>
      </c>
      <c r="M111" s="1736"/>
      <c r="N111" s="1559" t="s">
        <v>1899</v>
      </c>
      <c r="O111" s="1736"/>
      <c r="P111" s="1736"/>
      <c r="Q111" s="1736"/>
      <c r="R111" s="1559">
        <v>0</v>
      </c>
      <c r="S111" s="1736"/>
    </row>
    <row r="112" spans="2:19">
      <c r="E112" s="1736"/>
      <c r="F112" s="1736"/>
      <c r="G112" s="1736"/>
      <c r="H112" s="1736"/>
      <c r="I112" s="1736"/>
      <c r="J112" s="1736"/>
      <c r="K112" s="1736"/>
      <c r="L112" s="1736"/>
      <c r="M112" s="1736"/>
      <c r="N112" s="1736"/>
      <c r="O112" s="1736"/>
      <c r="P112" s="1736"/>
      <c r="Q112" s="1736"/>
      <c r="R112" s="1736"/>
      <c r="S112" s="1736"/>
    </row>
    <row r="113" spans="2:19">
      <c r="B113" s="1554">
        <f>B111+1</f>
        <v>71</v>
      </c>
      <c r="D113" s="1560" t="s">
        <v>636</v>
      </c>
      <c r="E113" s="1559">
        <v>31</v>
      </c>
      <c r="F113" s="1561">
        <v>0</v>
      </c>
      <c r="G113" s="1561">
        <v>214</v>
      </c>
      <c r="H113" s="1562">
        <f t="shared" ref="H113:H124" si="30">IF(F113=0,0.5,F113/G113)</f>
        <v>0.5</v>
      </c>
      <c r="I113" s="1563"/>
      <c r="J113" s="1559">
        <v>0</v>
      </c>
      <c r="K113" s="1564">
        <f t="shared" ref="K113:K124" si="31">+J113*H113</f>
        <v>0</v>
      </c>
      <c r="L113" s="1564">
        <f>+K113</f>
        <v>0</v>
      </c>
      <c r="M113" s="1563"/>
      <c r="N113" s="1559">
        <v>0</v>
      </c>
      <c r="O113" s="1564">
        <f>IF($D$177="True-Up Adjustment",N113-J113,0)</f>
        <v>0</v>
      </c>
      <c r="P113" s="1564">
        <f>IF($D$177="True-Up Adjustment",IF(AND(J113&gt;=0,N113&gt;=0),IF(O113&gt;=0,K113+O113,N113/J113*K113),IF(AND(J113&lt;0,N113&lt;0),IF(O113&lt;0,K113+O113,N113/J113*K113),0)),0)</f>
        <v>0</v>
      </c>
      <c r="Q113" s="1564">
        <f t="shared" ref="Q113:Q124" si="32">IF(AND(J113&gt;=0,N113&lt;0),N113,IF(AND(J113&lt;0,N113&gt;=0),N113,0))</f>
        <v>0</v>
      </c>
      <c r="R113" s="1564">
        <f>+P113+Q113</f>
        <v>0</v>
      </c>
      <c r="S113" s="1563"/>
    </row>
    <row r="114" spans="2:19">
      <c r="B114" s="1554">
        <f t="shared" ref="B114:B125" si="33">+B113+1</f>
        <v>72</v>
      </c>
      <c r="D114" s="1560" t="s">
        <v>637</v>
      </c>
      <c r="E114" s="1559">
        <v>28</v>
      </c>
      <c r="F114" s="1561">
        <v>0</v>
      </c>
      <c r="G114" s="1561">
        <f t="shared" ref="G114:G124" si="34">G113</f>
        <v>214</v>
      </c>
      <c r="H114" s="1562">
        <f t="shared" si="30"/>
        <v>0.5</v>
      </c>
      <c r="I114" s="1563"/>
      <c r="J114" s="1559">
        <v>0</v>
      </c>
      <c r="K114" s="1564">
        <f t="shared" si="31"/>
        <v>0</v>
      </c>
      <c r="L114" s="1564">
        <f t="shared" ref="L114:L124" si="35">+K114+L113</f>
        <v>0</v>
      </c>
      <c r="M114" s="1563"/>
      <c r="N114" s="1559">
        <v>0</v>
      </c>
      <c r="O114" s="1564">
        <f t="shared" ref="O114:O124" si="36">IF($D$177="True-Up Adjustment",N114-J114,0)</f>
        <v>0</v>
      </c>
      <c r="P114" s="1564">
        <f t="shared" ref="P114:P124" si="37">IF($D$177="True-Up Adjustment",IF(AND(J114&gt;=0,N114&gt;=0),IF(O114&gt;=0,K114+O114,N114/J114*K114),IF(AND(J114&lt;0,N114&lt;0),IF(O114&lt;0,K114+O114,N114/J114*K114),0)),0)</f>
        <v>0</v>
      </c>
      <c r="Q114" s="1564">
        <f t="shared" si="32"/>
        <v>0</v>
      </c>
      <c r="R114" s="1564">
        <f t="shared" ref="R114:R124" si="38">R113+P114+Q114</f>
        <v>0</v>
      </c>
      <c r="S114" s="1563"/>
    </row>
    <row r="115" spans="2:19">
      <c r="B115" s="1554">
        <f t="shared" si="33"/>
        <v>73</v>
      </c>
      <c r="D115" s="1560" t="s">
        <v>664</v>
      </c>
      <c r="E115" s="1559">
        <v>31</v>
      </c>
      <c r="F115" s="1561">
        <v>0</v>
      </c>
      <c r="G115" s="1561">
        <f t="shared" si="34"/>
        <v>214</v>
      </c>
      <c r="H115" s="1562">
        <f t="shared" si="30"/>
        <v>0.5</v>
      </c>
      <c r="I115" s="1563"/>
      <c r="J115" s="1559">
        <v>0</v>
      </c>
      <c r="K115" s="1564">
        <f t="shared" si="31"/>
        <v>0</v>
      </c>
      <c r="L115" s="1564">
        <f t="shared" si="35"/>
        <v>0</v>
      </c>
      <c r="M115" s="1563"/>
      <c r="N115" s="1559">
        <v>0</v>
      </c>
      <c r="O115" s="1564">
        <f t="shared" si="36"/>
        <v>0</v>
      </c>
      <c r="P115" s="1564">
        <f t="shared" si="37"/>
        <v>0</v>
      </c>
      <c r="Q115" s="1564">
        <f t="shared" si="32"/>
        <v>0</v>
      </c>
      <c r="R115" s="1564">
        <f t="shared" si="38"/>
        <v>0</v>
      </c>
      <c r="S115" s="1563"/>
    </row>
    <row r="116" spans="2:19">
      <c r="B116" s="1554">
        <f t="shared" si="33"/>
        <v>74</v>
      </c>
      <c r="D116" s="1560" t="s">
        <v>213</v>
      </c>
      <c r="E116" s="1559">
        <v>30</v>
      </c>
      <c r="F116" s="1561">
        <v>0</v>
      </c>
      <c r="G116" s="1561">
        <f t="shared" si="34"/>
        <v>214</v>
      </c>
      <c r="H116" s="1562">
        <f t="shared" si="30"/>
        <v>0.5</v>
      </c>
      <c r="I116" s="1563"/>
      <c r="J116" s="1559">
        <v>0</v>
      </c>
      <c r="K116" s="1564">
        <f t="shared" si="31"/>
        <v>0</v>
      </c>
      <c r="L116" s="1564">
        <f t="shared" si="35"/>
        <v>0</v>
      </c>
      <c r="M116" s="1563"/>
      <c r="N116" s="1559">
        <v>0</v>
      </c>
      <c r="O116" s="1564">
        <f t="shared" si="36"/>
        <v>0</v>
      </c>
      <c r="P116" s="1564">
        <f t="shared" si="37"/>
        <v>0</v>
      </c>
      <c r="Q116" s="1564">
        <f t="shared" si="32"/>
        <v>0</v>
      </c>
      <c r="R116" s="1564">
        <f t="shared" si="38"/>
        <v>0</v>
      </c>
      <c r="S116" s="1563"/>
    </row>
    <row r="117" spans="2:19">
      <c r="B117" s="1554">
        <f t="shared" si="33"/>
        <v>75</v>
      </c>
      <c r="D117" s="1560" t="s">
        <v>214</v>
      </c>
      <c r="E117" s="1559">
        <v>31</v>
      </c>
      <c r="F117" s="1561">
        <v>0</v>
      </c>
      <c r="G117" s="1561">
        <f t="shared" si="34"/>
        <v>214</v>
      </c>
      <c r="H117" s="1562">
        <f t="shared" si="30"/>
        <v>0.5</v>
      </c>
      <c r="I117" s="1563"/>
      <c r="J117" s="1559">
        <v>0</v>
      </c>
      <c r="K117" s="1564">
        <f t="shared" si="31"/>
        <v>0</v>
      </c>
      <c r="L117" s="1564">
        <f t="shared" si="35"/>
        <v>0</v>
      </c>
      <c r="M117" s="1563"/>
      <c r="N117" s="1559">
        <v>0</v>
      </c>
      <c r="O117" s="1564">
        <f t="shared" si="36"/>
        <v>0</v>
      </c>
      <c r="P117" s="1564">
        <f t="shared" si="37"/>
        <v>0</v>
      </c>
      <c r="Q117" s="1564">
        <f t="shared" si="32"/>
        <v>0</v>
      </c>
      <c r="R117" s="1564">
        <f t="shared" si="38"/>
        <v>0</v>
      </c>
      <c r="S117" s="1563"/>
    </row>
    <row r="118" spans="2:19">
      <c r="B118" s="1554">
        <f t="shared" si="33"/>
        <v>76</v>
      </c>
      <c r="D118" s="1560" t="s">
        <v>215</v>
      </c>
      <c r="E118" s="1559">
        <v>30</v>
      </c>
      <c r="F118" s="1561">
        <f t="shared" ref="F118:F123" si="39">E119+F119</f>
        <v>185</v>
      </c>
      <c r="G118" s="1561">
        <f t="shared" si="34"/>
        <v>214</v>
      </c>
      <c r="H118" s="1562">
        <f t="shared" si="30"/>
        <v>0.86448598130841126</v>
      </c>
      <c r="I118" s="1563"/>
      <c r="J118" s="1559">
        <v>0</v>
      </c>
      <c r="K118" s="1564">
        <f t="shared" si="31"/>
        <v>0</v>
      </c>
      <c r="L118" s="1564">
        <f t="shared" si="35"/>
        <v>0</v>
      </c>
      <c r="M118" s="1563"/>
      <c r="N118" s="1559">
        <v>0</v>
      </c>
      <c r="O118" s="1564">
        <f t="shared" si="36"/>
        <v>0</v>
      </c>
      <c r="P118" s="1564">
        <f t="shared" si="37"/>
        <v>0</v>
      </c>
      <c r="Q118" s="1564">
        <f t="shared" si="32"/>
        <v>0</v>
      </c>
      <c r="R118" s="1564">
        <f t="shared" si="38"/>
        <v>0</v>
      </c>
      <c r="S118" s="1563"/>
    </row>
    <row r="119" spans="2:19">
      <c r="B119" s="1554">
        <f t="shared" si="33"/>
        <v>77</v>
      </c>
      <c r="D119" s="1560" t="s">
        <v>639</v>
      </c>
      <c r="E119" s="1559">
        <v>31</v>
      </c>
      <c r="F119" s="1561">
        <f t="shared" si="39"/>
        <v>154</v>
      </c>
      <c r="G119" s="1561">
        <f t="shared" si="34"/>
        <v>214</v>
      </c>
      <c r="H119" s="1562">
        <f t="shared" si="30"/>
        <v>0.71962616822429903</v>
      </c>
      <c r="I119" s="1563"/>
      <c r="J119" s="1559">
        <v>0</v>
      </c>
      <c r="K119" s="1564">
        <f t="shared" si="31"/>
        <v>0</v>
      </c>
      <c r="L119" s="1564">
        <f t="shared" si="35"/>
        <v>0</v>
      </c>
      <c r="M119" s="1563"/>
      <c r="N119" s="1559">
        <v>0</v>
      </c>
      <c r="O119" s="1564">
        <f t="shared" si="36"/>
        <v>0</v>
      </c>
      <c r="P119" s="1564">
        <f t="shared" si="37"/>
        <v>0</v>
      </c>
      <c r="Q119" s="1564">
        <f t="shared" si="32"/>
        <v>0</v>
      </c>
      <c r="R119" s="1564">
        <f t="shared" si="38"/>
        <v>0</v>
      </c>
      <c r="S119" s="1563"/>
    </row>
    <row r="120" spans="2:19">
      <c r="B120" s="1554">
        <f t="shared" si="33"/>
        <v>78</v>
      </c>
      <c r="D120" s="1560" t="s">
        <v>665</v>
      </c>
      <c r="E120" s="1559">
        <v>31</v>
      </c>
      <c r="F120" s="1561">
        <f t="shared" si="39"/>
        <v>123</v>
      </c>
      <c r="G120" s="1561">
        <f t="shared" si="34"/>
        <v>214</v>
      </c>
      <c r="H120" s="1562">
        <f t="shared" si="30"/>
        <v>0.57476635514018692</v>
      </c>
      <c r="I120" s="1563"/>
      <c r="J120" s="1559">
        <v>0</v>
      </c>
      <c r="K120" s="1564">
        <f t="shared" si="31"/>
        <v>0</v>
      </c>
      <c r="L120" s="1564">
        <f t="shared" si="35"/>
        <v>0</v>
      </c>
      <c r="M120" s="1563"/>
      <c r="N120" s="1559">
        <v>0</v>
      </c>
      <c r="O120" s="1564">
        <f t="shared" si="36"/>
        <v>0</v>
      </c>
      <c r="P120" s="1564">
        <f t="shared" si="37"/>
        <v>0</v>
      </c>
      <c r="Q120" s="1564">
        <f t="shared" si="32"/>
        <v>0</v>
      </c>
      <c r="R120" s="1564">
        <f t="shared" si="38"/>
        <v>0</v>
      </c>
      <c r="S120" s="1563"/>
    </row>
    <row r="121" spans="2:19">
      <c r="B121" s="1554">
        <f t="shared" si="33"/>
        <v>79</v>
      </c>
      <c r="D121" s="1560" t="s">
        <v>641</v>
      </c>
      <c r="E121" s="1559">
        <v>30</v>
      </c>
      <c r="F121" s="1561">
        <f t="shared" si="39"/>
        <v>93</v>
      </c>
      <c r="G121" s="1561">
        <f t="shared" si="34"/>
        <v>214</v>
      </c>
      <c r="H121" s="1562">
        <f t="shared" si="30"/>
        <v>0.43457943925233644</v>
      </c>
      <c r="I121" s="1563"/>
      <c r="J121" s="1559">
        <v>0</v>
      </c>
      <c r="K121" s="1564">
        <f t="shared" si="31"/>
        <v>0</v>
      </c>
      <c r="L121" s="1564">
        <f t="shared" si="35"/>
        <v>0</v>
      </c>
      <c r="M121" s="1563"/>
      <c r="N121" s="1559">
        <v>0</v>
      </c>
      <c r="O121" s="1564">
        <f t="shared" si="36"/>
        <v>0</v>
      </c>
      <c r="P121" s="1564">
        <f t="shared" si="37"/>
        <v>0</v>
      </c>
      <c r="Q121" s="1564">
        <f t="shared" si="32"/>
        <v>0</v>
      </c>
      <c r="R121" s="1564">
        <f t="shared" si="38"/>
        <v>0</v>
      </c>
      <c r="S121" s="1563"/>
    </row>
    <row r="122" spans="2:19">
      <c r="B122" s="1554">
        <f t="shared" si="33"/>
        <v>80</v>
      </c>
      <c r="D122" s="1560" t="s">
        <v>642</v>
      </c>
      <c r="E122" s="1559">
        <v>31</v>
      </c>
      <c r="F122" s="1561">
        <f t="shared" si="39"/>
        <v>62</v>
      </c>
      <c r="G122" s="1561">
        <f t="shared" si="34"/>
        <v>214</v>
      </c>
      <c r="H122" s="1562">
        <f t="shared" si="30"/>
        <v>0.28971962616822428</v>
      </c>
      <c r="I122" s="1563"/>
      <c r="J122" s="1559">
        <v>0</v>
      </c>
      <c r="K122" s="1564">
        <f t="shared" si="31"/>
        <v>0</v>
      </c>
      <c r="L122" s="1564">
        <f t="shared" si="35"/>
        <v>0</v>
      </c>
      <c r="M122" s="1563"/>
      <c r="N122" s="1559">
        <v>0</v>
      </c>
      <c r="O122" s="1564">
        <f t="shared" si="36"/>
        <v>0</v>
      </c>
      <c r="P122" s="1564">
        <f t="shared" si="37"/>
        <v>0</v>
      </c>
      <c r="Q122" s="1564">
        <f t="shared" si="32"/>
        <v>0</v>
      </c>
      <c r="R122" s="1564">
        <f t="shared" si="38"/>
        <v>0</v>
      </c>
      <c r="S122" s="1563"/>
    </row>
    <row r="123" spans="2:19">
      <c r="B123" s="1554">
        <f t="shared" si="33"/>
        <v>81</v>
      </c>
      <c r="D123" s="1560" t="s">
        <v>643</v>
      </c>
      <c r="E123" s="1559">
        <v>30</v>
      </c>
      <c r="F123" s="1561">
        <f t="shared" si="39"/>
        <v>32</v>
      </c>
      <c r="G123" s="1561">
        <f t="shared" si="34"/>
        <v>214</v>
      </c>
      <c r="H123" s="1562">
        <f t="shared" si="30"/>
        <v>0.14953271028037382</v>
      </c>
      <c r="I123" s="1563"/>
      <c r="J123" s="1559">
        <v>0</v>
      </c>
      <c r="K123" s="1564">
        <f t="shared" si="31"/>
        <v>0</v>
      </c>
      <c r="L123" s="1564">
        <f t="shared" si="35"/>
        <v>0</v>
      </c>
      <c r="M123" s="1563"/>
      <c r="N123" s="1559">
        <v>0</v>
      </c>
      <c r="O123" s="1564">
        <f t="shared" si="36"/>
        <v>0</v>
      </c>
      <c r="P123" s="1564">
        <f t="shared" si="37"/>
        <v>0</v>
      </c>
      <c r="Q123" s="1564">
        <f t="shared" si="32"/>
        <v>0</v>
      </c>
      <c r="R123" s="1564">
        <f t="shared" si="38"/>
        <v>0</v>
      </c>
      <c r="S123" s="1563"/>
    </row>
    <row r="124" spans="2:19">
      <c r="B124" s="1554">
        <f t="shared" si="33"/>
        <v>82</v>
      </c>
      <c r="D124" s="1565" t="s">
        <v>869</v>
      </c>
      <c r="E124" s="1559">
        <v>31</v>
      </c>
      <c r="F124" s="1566">
        <v>1</v>
      </c>
      <c r="G124" s="1561">
        <f t="shared" si="34"/>
        <v>214</v>
      </c>
      <c r="H124" s="1562">
        <f t="shared" si="30"/>
        <v>4.6728971962616819E-3</v>
      </c>
      <c r="I124" s="1563"/>
      <c r="J124" s="1559">
        <v>0</v>
      </c>
      <c r="K124" s="1564">
        <f t="shared" si="31"/>
        <v>0</v>
      </c>
      <c r="L124" s="1564">
        <f t="shared" si="35"/>
        <v>0</v>
      </c>
      <c r="M124" s="1563"/>
      <c r="N124" s="1559">
        <v>0</v>
      </c>
      <c r="O124" s="1564">
        <f t="shared" si="36"/>
        <v>0</v>
      </c>
      <c r="P124" s="1564">
        <f t="shared" si="37"/>
        <v>0</v>
      </c>
      <c r="Q124" s="1564">
        <f t="shared" si="32"/>
        <v>0</v>
      </c>
      <c r="R124" s="1564">
        <f t="shared" si="38"/>
        <v>0</v>
      </c>
      <c r="S124" s="1563"/>
    </row>
    <row r="125" spans="2:19">
      <c r="B125" s="1554">
        <f t="shared" si="33"/>
        <v>83</v>
      </c>
      <c r="D125" s="1567" t="str">
        <f>"Total (Sum of Lines "&amp;B113&amp;" - "&amp;B124&amp;")"</f>
        <v>Total (Sum of Lines 71 - 82)</v>
      </c>
      <c r="E125" s="1568">
        <f>SUM(E113:E124)</f>
        <v>365</v>
      </c>
      <c r="F125" s="1569"/>
      <c r="G125" s="1569"/>
      <c r="H125" s="1570"/>
      <c r="I125" s="1571"/>
      <c r="J125" s="1568">
        <f>SUM(J113:J124)</f>
        <v>0</v>
      </c>
      <c r="K125" s="1568">
        <f>SUM(K113:K124)</f>
        <v>0</v>
      </c>
      <c r="L125" s="1572"/>
      <c r="M125" s="1571"/>
      <c r="N125" s="1568">
        <f>SUM(N113:N124)</f>
        <v>0</v>
      </c>
      <c r="O125" s="1568">
        <f>SUM(O113:O124)</f>
        <v>0</v>
      </c>
      <c r="P125" s="1568">
        <f>SUM(P113:P124)</f>
        <v>0</v>
      </c>
      <c r="Q125" s="1568">
        <f>SUM(Q113:Q124)</f>
        <v>0</v>
      </c>
      <c r="R125" s="1572"/>
      <c r="S125" s="1571"/>
    </row>
    <row r="126" spans="2:19">
      <c r="D126" s="1573"/>
      <c r="E126" s="1573"/>
      <c r="F126" s="1573"/>
      <c r="G126" s="1573"/>
      <c r="H126" s="1574"/>
      <c r="I126" s="1574"/>
      <c r="K126" s="1575"/>
      <c r="L126" s="1574"/>
      <c r="M126" s="1574"/>
      <c r="N126" s="1585"/>
      <c r="O126" s="1575"/>
      <c r="P126" s="1575"/>
      <c r="Q126" s="1575"/>
      <c r="R126" s="1574"/>
      <c r="S126" s="1574"/>
    </row>
    <row r="127" spans="2:19">
      <c r="B127" s="1554">
        <f>B125+1</f>
        <v>84</v>
      </c>
      <c r="D127" s="1199" t="s">
        <v>1046</v>
      </c>
      <c r="I127" s="1574"/>
      <c r="J127" s="1559" t="s">
        <v>1899</v>
      </c>
      <c r="L127" s="1559">
        <f>'1C - ADIT BOY'!E14</f>
        <v>-11317285.97173845</v>
      </c>
      <c r="M127" s="1576"/>
      <c r="N127" s="1559" t="s">
        <v>1899</v>
      </c>
      <c r="R127" s="1559">
        <f>'1C - ADIT BOY'!E14</f>
        <v>-11317285.97173845</v>
      </c>
    </row>
    <row r="128" spans="2:19">
      <c r="B128" s="1554">
        <f>B127+1</f>
        <v>85</v>
      </c>
      <c r="D128" s="1199" t="s">
        <v>1050</v>
      </c>
      <c r="I128" s="1574"/>
      <c r="J128" s="1577" t="s">
        <v>759</v>
      </c>
      <c r="L128" s="1578">
        <v>0</v>
      </c>
      <c r="M128" s="1579"/>
      <c r="N128" s="1577"/>
      <c r="R128" s="1578">
        <v>0</v>
      </c>
    </row>
    <row r="129" spans="2:19">
      <c r="B129" s="1554">
        <f>B128+1</f>
        <v>86</v>
      </c>
      <c r="D129" s="1199" t="s">
        <v>1047</v>
      </c>
      <c r="I129" s="1574"/>
      <c r="J129" s="1567" t="str">
        <f>"(Col. "&amp;L108&amp;", Line "&amp;B127&amp;" + Line "&amp;B128&amp;")"</f>
        <v>(Col. (H), Line 84 + Line 85)</v>
      </c>
      <c r="L129" s="1580">
        <f>L127+L128</f>
        <v>-11317285.97173845</v>
      </c>
      <c r="M129" s="1574"/>
      <c r="N129" s="1567" t="str">
        <f>"(Col. "&amp;R108&amp;", Line "&amp;B127&amp;" + Line "&amp;B128&amp;")"</f>
        <v>(Col. (M), Line 84 + Line 85)</v>
      </c>
      <c r="R129" s="1580">
        <f>R127+R128</f>
        <v>-11317285.97173845</v>
      </c>
    </row>
    <row r="130" spans="2:19">
      <c r="I130" s="1574"/>
      <c r="L130" s="1580"/>
      <c r="M130" s="1574"/>
      <c r="R130" s="1580"/>
    </row>
    <row r="131" spans="2:19">
      <c r="B131" s="1554">
        <f>B129+1</f>
        <v>87</v>
      </c>
      <c r="D131" s="1199" t="s">
        <v>1132</v>
      </c>
      <c r="I131" s="1574"/>
      <c r="J131" s="1559" t="s">
        <v>1995</v>
      </c>
      <c r="L131" s="1559">
        <f>'1B - ADIT EOY'!E14</f>
        <v>-10042039.854855573</v>
      </c>
      <c r="M131" s="1576"/>
      <c r="N131" s="1559" t="s">
        <v>1995</v>
      </c>
      <c r="R131" s="1559">
        <f>'1B - ADIT EOY'!E14</f>
        <v>-10042039.854855573</v>
      </c>
    </row>
    <row r="132" spans="2:19">
      <c r="B132" s="1554">
        <f>B131+1</f>
        <v>88</v>
      </c>
      <c r="D132" s="1199" t="s">
        <v>1051</v>
      </c>
      <c r="I132" s="1574"/>
      <c r="J132" s="1577" t="s">
        <v>759</v>
      </c>
      <c r="L132" s="1578">
        <v>0</v>
      </c>
      <c r="M132" s="1574"/>
      <c r="N132" s="1577"/>
      <c r="R132" s="1578">
        <v>0</v>
      </c>
    </row>
    <row r="133" spans="2:19">
      <c r="B133" s="1554">
        <f>B132+1</f>
        <v>89</v>
      </c>
      <c r="D133" s="1199" t="s">
        <v>1052</v>
      </c>
      <c r="I133" s="1574"/>
      <c r="J133" s="1567" t="str">
        <f>"(Col. "&amp;L108&amp;", Line "&amp;B131&amp;" + Line "&amp;B132&amp;")"</f>
        <v>(Col. (H), Line 87 + Line 88)</v>
      </c>
      <c r="L133" s="1580">
        <f>L131+L132</f>
        <v>-10042039.854855573</v>
      </c>
      <c r="M133" s="1574"/>
      <c r="N133" s="1567" t="str">
        <f>"(Col. "&amp;R108&amp;", Line "&amp;B131&amp;" + Line "&amp;B132&amp;")"</f>
        <v>(Col. (M), Line 87 + Line 88)</v>
      </c>
      <c r="R133" s="1580">
        <f>R131+R132</f>
        <v>-10042039.854855573</v>
      </c>
    </row>
    <row r="134" spans="2:19">
      <c r="I134" s="1574"/>
      <c r="L134" s="1580"/>
      <c r="M134" s="1574"/>
      <c r="R134" s="1580"/>
    </row>
    <row r="135" spans="2:19">
      <c r="B135" s="1554">
        <f>B133+1</f>
        <v>90</v>
      </c>
      <c r="D135" s="1199" t="s">
        <v>1131</v>
      </c>
      <c r="I135" s="1574"/>
      <c r="J135" s="1567" t="str">
        <f>"([Col. "&amp;L108&amp;", Line "&amp;B129&amp;" + Line "&amp;B133&amp;"] /2)"</f>
        <v>([Col. (H), Line 86 + Line 89] /2)</v>
      </c>
      <c r="L135" s="1564">
        <f>(L129+L133)/2</f>
        <v>-10679662.913297012</v>
      </c>
      <c r="M135" s="1574"/>
      <c r="N135" s="1567" t="str">
        <f>"([Col. "&amp;R108&amp;", Line "&amp;B129&amp;" + Line "&amp;B133&amp;"] /2)"</f>
        <v>([Col. (M), Line 86 + Line 89] /2)</v>
      </c>
      <c r="R135" s="1564">
        <f>(R129+R133)/2</f>
        <v>-10679662.913297012</v>
      </c>
    </row>
    <row r="136" spans="2:19">
      <c r="B136" s="1554">
        <f>B135+1</f>
        <v>91</v>
      </c>
      <c r="D136" s="1573" t="s">
        <v>1130</v>
      </c>
      <c r="E136" s="1573"/>
      <c r="F136" s="1573"/>
      <c r="G136" s="1573"/>
      <c r="H136" s="1574"/>
      <c r="I136" s="1574"/>
      <c r="J136" s="1567" t="str">
        <f>"(Col. "&amp;L108&amp;", Line "&amp;B124&amp;" )"</f>
        <v>(Col. (H), Line 82 )</v>
      </c>
      <c r="K136" s="1575"/>
      <c r="L136" s="1564">
        <f>L124</f>
        <v>0</v>
      </c>
      <c r="M136" s="1574"/>
      <c r="N136" s="1567" t="str">
        <f>"(Col. "&amp;R108&amp;", Line "&amp;B124&amp;" )"</f>
        <v>(Col. (M), Line 82 )</v>
      </c>
      <c r="R136" s="1564">
        <f>R124</f>
        <v>0</v>
      </c>
    </row>
    <row r="137" spans="2:19" ht="13.5" thickBot="1">
      <c r="B137" s="1554">
        <f>B136+1</f>
        <v>92</v>
      </c>
      <c r="D137" s="1581" t="s">
        <v>1602</v>
      </c>
      <c r="E137" s="1573"/>
      <c r="F137" s="1573"/>
      <c r="G137" s="1573"/>
      <c r="H137" s="1574"/>
      <c r="I137" s="1574"/>
      <c r="J137" s="1567" t="str">
        <f>"(Col. "&amp;L108&amp;", Line "&amp;B135&amp;" + Line "&amp;B136&amp;")"</f>
        <v>(Col. (H), Line 90 + Line 91)</v>
      </c>
      <c r="K137" s="1575"/>
      <c r="L137" s="1582">
        <f>L135+L136</f>
        <v>-10679662.913297012</v>
      </c>
      <c r="M137" s="1574"/>
      <c r="N137" s="1567" t="str">
        <f>"(Col. "&amp;R108&amp;", Line "&amp;B135&amp;" + Line "&amp;B136&amp;")"</f>
        <v>(Col. (M), Line 90 + Line 91)</v>
      </c>
      <c r="R137" s="1582">
        <f>R135+R136</f>
        <v>-10679662.913297012</v>
      </c>
    </row>
    <row r="138" spans="2:19">
      <c r="D138" s="1573"/>
      <c r="E138" s="1573"/>
      <c r="F138" s="1573"/>
      <c r="G138" s="1573"/>
      <c r="H138" s="1574"/>
      <c r="I138" s="1574"/>
      <c r="K138" s="1575"/>
      <c r="L138" s="1574"/>
      <c r="M138" s="1574"/>
      <c r="O138" s="1575"/>
      <c r="P138" s="1575"/>
      <c r="Q138" s="1575"/>
      <c r="R138" s="1574"/>
      <c r="S138" s="1574"/>
    </row>
    <row r="139" spans="2:19">
      <c r="D139" s="1551" t="s">
        <v>1603</v>
      </c>
      <c r="J139" s="1862"/>
      <c r="K139" s="1862"/>
      <c r="L139" s="1862"/>
      <c r="N139" s="1862"/>
      <c r="O139" s="1862"/>
      <c r="P139" s="1862"/>
      <c r="Q139" s="1862"/>
      <c r="R139" s="1862"/>
    </row>
    <row r="140" spans="2:19">
      <c r="D140" s="1863" t="s">
        <v>1041</v>
      </c>
      <c r="E140" s="1864"/>
      <c r="F140" s="1864"/>
      <c r="G140" s="1864"/>
      <c r="H140" s="1865"/>
      <c r="I140" s="1555"/>
      <c r="J140" s="1866" t="s">
        <v>1604</v>
      </c>
      <c r="K140" s="1867"/>
      <c r="L140" s="1868"/>
      <c r="M140" s="1555"/>
      <c r="N140" s="1866" t="s">
        <v>1605</v>
      </c>
      <c r="O140" s="1867"/>
      <c r="P140" s="1867"/>
      <c r="Q140" s="1867"/>
      <c r="R140" s="1868"/>
      <c r="S140" s="1555"/>
    </row>
    <row r="141" spans="2:19">
      <c r="D141" s="1556" t="s">
        <v>216</v>
      </c>
      <c r="E141" s="1556" t="s">
        <v>217</v>
      </c>
      <c r="F141" s="1556" t="s">
        <v>1579</v>
      </c>
      <c r="G141" s="1556" t="s">
        <v>1580</v>
      </c>
      <c r="H141" s="1556" t="s">
        <v>1581</v>
      </c>
      <c r="I141" s="1555"/>
      <c r="J141" s="1556" t="s">
        <v>1582</v>
      </c>
      <c r="K141" s="1556" t="s">
        <v>1583</v>
      </c>
      <c r="L141" s="1556" t="s">
        <v>1584</v>
      </c>
      <c r="M141" s="1555"/>
      <c r="N141" s="1556" t="s">
        <v>1585</v>
      </c>
      <c r="O141" s="1556" t="s">
        <v>1586</v>
      </c>
      <c r="P141" s="1556" t="s">
        <v>1587</v>
      </c>
      <c r="Q141" s="1556" t="s">
        <v>1588</v>
      </c>
      <c r="R141" s="1556" t="s">
        <v>1589</v>
      </c>
      <c r="S141" s="1555"/>
    </row>
    <row r="142" spans="2:19" ht="51">
      <c r="B142" s="1557" t="s">
        <v>1590</v>
      </c>
      <c r="D142" s="1558" t="s">
        <v>211</v>
      </c>
      <c r="E142" s="1558" t="s">
        <v>1042</v>
      </c>
      <c r="F142" s="1558" t="s">
        <v>1043</v>
      </c>
      <c r="G142" s="1558" t="s">
        <v>1044</v>
      </c>
      <c r="H142" s="1558" t="s">
        <v>1591</v>
      </c>
      <c r="I142" s="1736"/>
      <c r="J142" s="1558" t="s">
        <v>1045</v>
      </c>
      <c r="K142" s="1558" t="s">
        <v>1592</v>
      </c>
      <c r="L142" s="1558" t="s">
        <v>1593</v>
      </c>
      <c r="M142" s="1736"/>
      <c r="N142" s="1558" t="s">
        <v>1134</v>
      </c>
      <c r="O142" s="1558" t="s">
        <v>1594</v>
      </c>
      <c r="P142" s="1558" t="s">
        <v>1595</v>
      </c>
      <c r="Q142" s="1558" t="s">
        <v>1596</v>
      </c>
      <c r="R142" s="1558" t="s">
        <v>1597</v>
      </c>
      <c r="S142" s="1736"/>
    </row>
    <row r="143" spans="2:19">
      <c r="E143" s="1736"/>
      <c r="F143" s="1736"/>
      <c r="G143" s="1736"/>
      <c r="H143" s="1736"/>
      <c r="I143" s="1736"/>
      <c r="J143" s="1736"/>
      <c r="K143" s="1736"/>
      <c r="L143" s="1736"/>
      <c r="M143" s="1736"/>
      <c r="N143" s="1736"/>
      <c r="O143" s="1736"/>
      <c r="P143" s="1736"/>
      <c r="Q143" s="1736"/>
      <c r="R143" s="1736"/>
      <c r="S143" s="1736"/>
    </row>
    <row r="144" spans="2:19">
      <c r="B144" s="1554">
        <f>B137+1</f>
        <v>93</v>
      </c>
      <c r="D144" s="1199" t="s">
        <v>1606</v>
      </c>
      <c r="E144" s="1736"/>
      <c r="F144" s="1736"/>
      <c r="G144" s="1736"/>
      <c r="H144" s="1736"/>
      <c r="I144" s="1736"/>
      <c r="J144" s="1559" t="s">
        <v>1899</v>
      </c>
      <c r="K144" s="1736"/>
      <c r="L144" s="1559">
        <v>0</v>
      </c>
      <c r="M144" s="1736"/>
      <c r="N144" s="1559" t="s">
        <v>1899</v>
      </c>
      <c r="O144" s="1736"/>
      <c r="P144" s="1736"/>
      <c r="Q144" s="1736"/>
      <c r="R144" s="1559">
        <v>0</v>
      </c>
      <c r="S144" s="1736"/>
    </row>
    <row r="145" spans="2:19">
      <c r="E145" s="1736"/>
      <c r="F145" s="1736"/>
      <c r="G145" s="1736"/>
      <c r="H145" s="1736"/>
      <c r="I145" s="1736"/>
      <c r="J145" s="1736"/>
      <c r="K145" s="1736"/>
      <c r="L145" s="1736"/>
      <c r="M145" s="1736"/>
      <c r="N145" s="1736"/>
      <c r="O145" s="1736"/>
      <c r="P145" s="1736"/>
      <c r="Q145" s="1736"/>
      <c r="R145" s="1736"/>
      <c r="S145" s="1736"/>
    </row>
    <row r="146" spans="2:19">
      <c r="B146" s="1554">
        <f>B144+1</f>
        <v>94</v>
      </c>
      <c r="D146" s="1560" t="s">
        <v>636</v>
      </c>
      <c r="E146" s="1559">
        <v>31</v>
      </c>
      <c r="F146" s="1561">
        <v>0</v>
      </c>
      <c r="G146" s="1561">
        <v>214</v>
      </c>
      <c r="H146" s="1562">
        <f t="shared" ref="H146:H157" si="40">IF(F146=0,0.5,F146/G146)</f>
        <v>0.5</v>
      </c>
      <c r="I146" s="1563"/>
      <c r="J146" s="1559">
        <v>0</v>
      </c>
      <c r="K146" s="1564">
        <f t="shared" ref="K146:K157" si="41">+J146*H146</f>
        <v>0</v>
      </c>
      <c r="L146" s="1564">
        <f>+K146</f>
        <v>0</v>
      </c>
      <c r="M146" s="1563"/>
      <c r="N146" s="1559">
        <v>0</v>
      </c>
      <c r="O146" s="1564">
        <f>IF($D$177="True-Up Adjustment",N146-J146,0)</f>
        <v>0</v>
      </c>
      <c r="P146" s="1564">
        <f>IF($D$177="True-Up Adjustment",IF(AND(J146&gt;=0,N146&gt;=0),IF(O146&gt;=0,K146+O146,N146/J146*K146),IF(AND(J146&lt;0,N146&lt;0),IF(O146&lt;0,K146+O146,N146/J146*K146),0)),0)</f>
        <v>0</v>
      </c>
      <c r="Q146" s="1564">
        <f t="shared" ref="Q146:Q157" si="42">IF(AND(J146&gt;=0,N146&lt;0),N146,IF(AND(J146&lt;0,N146&gt;=0),N146,0))</f>
        <v>0</v>
      </c>
      <c r="R146" s="1564">
        <f>+P146+Q146</f>
        <v>0</v>
      </c>
      <c r="S146" s="1563"/>
    </row>
    <row r="147" spans="2:19">
      <c r="B147" s="1554">
        <f t="shared" ref="B147:B158" si="43">+B146+1</f>
        <v>95</v>
      </c>
      <c r="D147" s="1560" t="s">
        <v>637</v>
      </c>
      <c r="E147" s="1559">
        <v>28</v>
      </c>
      <c r="F147" s="1561">
        <v>0</v>
      </c>
      <c r="G147" s="1561">
        <f t="shared" ref="G147:G157" si="44">G146</f>
        <v>214</v>
      </c>
      <c r="H147" s="1562">
        <f t="shared" si="40"/>
        <v>0.5</v>
      </c>
      <c r="I147" s="1563"/>
      <c r="J147" s="1559">
        <v>0</v>
      </c>
      <c r="K147" s="1564">
        <f t="shared" si="41"/>
        <v>0</v>
      </c>
      <c r="L147" s="1564">
        <f t="shared" ref="L147:L157" si="45">+K147+L146</f>
        <v>0</v>
      </c>
      <c r="M147" s="1563"/>
      <c r="N147" s="1559">
        <v>0</v>
      </c>
      <c r="O147" s="1564">
        <f t="shared" ref="O147:O157" si="46">IF($D$177="True-Up Adjustment",N147-J147,0)</f>
        <v>0</v>
      </c>
      <c r="P147" s="1564">
        <f t="shared" ref="P147:P157" si="47">IF($D$177="True-Up Adjustment",IF(AND(J147&gt;=0,N147&gt;=0),IF(O147&gt;=0,K147+O147,N147/J147*K147),IF(AND(J147&lt;0,N147&lt;0),IF(O147&lt;0,K147+O147,N147/J147*K147),0)),0)</f>
        <v>0</v>
      </c>
      <c r="Q147" s="1564">
        <f t="shared" si="42"/>
        <v>0</v>
      </c>
      <c r="R147" s="1564">
        <f t="shared" ref="R147:R157" si="48">R146+P147+Q147</f>
        <v>0</v>
      </c>
      <c r="S147" s="1563"/>
    </row>
    <row r="148" spans="2:19">
      <c r="B148" s="1554">
        <f t="shared" si="43"/>
        <v>96</v>
      </c>
      <c r="D148" s="1560" t="s">
        <v>664</v>
      </c>
      <c r="E148" s="1559">
        <v>31</v>
      </c>
      <c r="F148" s="1561">
        <v>0</v>
      </c>
      <c r="G148" s="1561">
        <f t="shared" si="44"/>
        <v>214</v>
      </c>
      <c r="H148" s="1562">
        <f t="shared" si="40"/>
        <v>0.5</v>
      </c>
      <c r="I148" s="1563"/>
      <c r="J148" s="1559">
        <v>0</v>
      </c>
      <c r="K148" s="1564">
        <f t="shared" si="41"/>
        <v>0</v>
      </c>
      <c r="L148" s="1564">
        <f t="shared" si="45"/>
        <v>0</v>
      </c>
      <c r="M148" s="1563"/>
      <c r="N148" s="1559">
        <v>0</v>
      </c>
      <c r="O148" s="1564">
        <f t="shared" si="46"/>
        <v>0</v>
      </c>
      <c r="P148" s="1564">
        <f t="shared" si="47"/>
        <v>0</v>
      </c>
      <c r="Q148" s="1564">
        <f t="shared" si="42"/>
        <v>0</v>
      </c>
      <c r="R148" s="1564">
        <f t="shared" si="48"/>
        <v>0</v>
      </c>
      <c r="S148" s="1563"/>
    </row>
    <row r="149" spans="2:19">
      <c r="B149" s="1554">
        <f t="shared" si="43"/>
        <v>97</v>
      </c>
      <c r="D149" s="1560" t="s">
        <v>213</v>
      </c>
      <c r="E149" s="1559">
        <v>30</v>
      </c>
      <c r="F149" s="1561">
        <v>0</v>
      </c>
      <c r="G149" s="1561">
        <f t="shared" si="44"/>
        <v>214</v>
      </c>
      <c r="H149" s="1562">
        <f t="shared" si="40"/>
        <v>0.5</v>
      </c>
      <c r="I149" s="1563"/>
      <c r="J149" s="1559">
        <v>0</v>
      </c>
      <c r="K149" s="1564">
        <f t="shared" si="41"/>
        <v>0</v>
      </c>
      <c r="L149" s="1564">
        <f t="shared" si="45"/>
        <v>0</v>
      </c>
      <c r="M149" s="1563"/>
      <c r="N149" s="1559">
        <v>0</v>
      </c>
      <c r="O149" s="1564">
        <f t="shared" si="46"/>
        <v>0</v>
      </c>
      <c r="P149" s="1564">
        <f t="shared" si="47"/>
        <v>0</v>
      </c>
      <c r="Q149" s="1564">
        <f t="shared" si="42"/>
        <v>0</v>
      </c>
      <c r="R149" s="1564">
        <f t="shared" si="48"/>
        <v>0</v>
      </c>
      <c r="S149" s="1563"/>
    </row>
    <row r="150" spans="2:19">
      <c r="B150" s="1554">
        <f t="shared" si="43"/>
        <v>98</v>
      </c>
      <c r="D150" s="1560" t="s">
        <v>214</v>
      </c>
      <c r="E150" s="1559">
        <v>31</v>
      </c>
      <c r="F150" s="1561">
        <v>0</v>
      </c>
      <c r="G150" s="1561">
        <f t="shared" si="44"/>
        <v>214</v>
      </c>
      <c r="H150" s="1562">
        <f t="shared" si="40"/>
        <v>0.5</v>
      </c>
      <c r="I150" s="1563"/>
      <c r="J150" s="1559">
        <v>0</v>
      </c>
      <c r="K150" s="1564">
        <f t="shared" si="41"/>
        <v>0</v>
      </c>
      <c r="L150" s="1564">
        <f t="shared" si="45"/>
        <v>0</v>
      </c>
      <c r="M150" s="1563"/>
      <c r="N150" s="1559">
        <v>0</v>
      </c>
      <c r="O150" s="1564">
        <f t="shared" si="46"/>
        <v>0</v>
      </c>
      <c r="P150" s="1564">
        <f t="shared" si="47"/>
        <v>0</v>
      </c>
      <c r="Q150" s="1564">
        <f t="shared" si="42"/>
        <v>0</v>
      </c>
      <c r="R150" s="1564">
        <f t="shared" si="48"/>
        <v>0</v>
      </c>
      <c r="S150" s="1563"/>
    </row>
    <row r="151" spans="2:19">
      <c r="B151" s="1554">
        <f t="shared" si="43"/>
        <v>99</v>
      </c>
      <c r="D151" s="1560" t="s">
        <v>215</v>
      </c>
      <c r="E151" s="1559">
        <v>30</v>
      </c>
      <c r="F151" s="1561">
        <f t="shared" ref="F151:F156" si="49">E152+F152</f>
        <v>185</v>
      </c>
      <c r="G151" s="1561">
        <f t="shared" si="44"/>
        <v>214</v>
      </c>
      <c r="H151" s="1562">
        <f t="shared" si="40"/>
        <v>0.86448598130841126</v>
      </c>
      <c r="I151" s="1563"/>
      <c r="J151" s="1559">
        <v>0</v>
      </c>
      <c r="K151" s="1564">
        <f t="shared" si="41"/>
        <v>0</v>
      </c>
      <c r="L151" s="1564">
        <f t="shared" si="45"/>
        <v>0</v>
      </c>
      <c r="M151" s="1563"/>
      <c r="N151" s="1559">
        <v>0</v>
      </c>
      <c r="O151" s="1564">
        <f t="shared" si="46"/>
        <v>0</v>
      </c>
      <c r="P151" s="1564">
        <f t="shared" si="47"/>
        <v>0</v>
      </c>
      <c r="Q151" s="1564">
        <f t="shared" si="42"/>
        <v>0</v>
      </c>
      <c r="R151" s="1564">
        <f t="shared" si="48"/>
        <v>0</v>
      </c>
      <c r="S151" s="1563"/>
    </row>
    <row r="152" spans="2:19">
      <c r="B152" s="1554">
        <f t="shared" si="43"/>
        <v>100</v>
      </c>
      <c r="D152" s="1560" t="s">
        <v>639</v>
      </c>
      <c r="E152" s="1559">
        <v>31</v>
      </c>
      <c r="F152" s="1561">
        <f t="shared" si="49"/>
        <v>154</v>
      </c>
      <c r="G152" s="1561">
        <f t="shared" si="44"/>
        <v>214</v>
      </c>
      <c r="H152" s="1562">
        <f t="shared" si="40"/>
        <v>0.71962616822429903</v>
      </c>
      <c r="I152" s="1563"/>
      <c r="J152" s="1559">
        <v>0</v>
      </c>
      <c r="K152" s="1564">
        <f t="shared" si="41"/>
        <v>0</v>
      </c>
      <c r="L152" s="1564">
        <f t="shared" si="45"/>
        <v>0</v>
      </c>
      <c r="M152" s="1563"/>
      <c r="N152" s="1559">
        <v>0</v>
      </c>
      <c r="O152" s="1564">
        <f t="shared" si="46"/>
        <v>0</v>
      </c>
      <c r="P152" s="1564">
        <f t="shared" si="47"/>
        <v>0</v>
      </c>
      <c r="Q152" s="1564">
        <f t="shared" si="42"/>
        <v>0</v>
      </c>
      <c r="R152" s="1564">
        <f t="shared" si="48"/>
        <v>0</v>
      </c>
      <c r="S152" s="1563"/>
    </row>
    <row r="153" spans="2:19">
      <c r="B153" s="1554">
        <f t="shared" si="43"/>
        <v>101</v>
      </c>
      <c r="D153" s="1560" t="s">
        <v>665</v>
      </c>
      <c r="E153" s="1559">
        <v>31</v>
      </c>
      <c r="F153" s="1561">
        <f t="shared" si="49"/>
        <v>123</v>
      </c>
      <c r="G153" s="1561">
        <f t="shared" si="44"/>
        <v>214</v>
      </c>
      <c r="H153" s="1562">
        <f t="shared" si="40"/>
        <v>0.57476635514018692</v>
      </c>
      <c r="I153" s="1563"/>
      <c r="J153" s="1559">
        <v>0</v>
      </c>
      <c r="K153" s="1564">
        <f t="shared" si="41"/>
        <v>0</v>
      </c>
      <c r="L153" s="1564">
        <f t="shared" si="45"/>
        <v>0</v>
      </c>
      <c r="M153" s="1563"/>
      <c r="N153" s="1559">
        <v>0</v>
      </c>
      <c r="O153" s="1564">
        <f t="shared" si="46"/>
        <v>0</v>
      </c>
      <c r="P153" s="1564">
        <f t="shared" si="47"/>
        <v>0</v>
      </c>
      <c r="Q153" s="1564">
        <f t="shared" si="42"/>
        <v>0</v>
      </c>
      <c r="R153" s="1564">
        <f t="shared" si="48"/>
        <v>0</v>
      </c>
      <c r="S153" s="1563"/>
    </row>
    <row r="154" spans="2:19">
      <c r="B154" s="1554">
        <f t="shared" si="43"/>
        <v>102</v>
      </c>
      <c r="D154" s="1560" t="s">
        <v>641</v>
      </c>
      <c r="E154" s="1559">
        <v>30</v>
      </c>
      <c r="F154" s="1561">
        <f t="shared" si="49"/>
        <v>93</v>
      </c>
      <c r="G154" s="1561">
        <f t="shared" si="44"/>
        <v>214</v>
      </c>
      <c r="H154" s="1562">
        <f t="shared" si="40"/>
        <v>0.43457943925233644</v>
      </c>
      <c r="I154" s="1563"/>
      <c r="J154" s="1559">
        <v>0</v>
      </c>
      <c r="K154" s="1564">
        <f t="shared" si="41"/>
        <v>0</v>
      </c>
      <c r="L154" s="1564">
        <f t="shared" si="45"/>
        <v>0</v>
      </c>
      <c r="M154" s="1563"/>
      <c r="N154" s="1559">
        <v>0</v>
      </c>
      <c r="O154" s="1564">
        <f t="shared" si="46"/>
        <v>0</v>
      </c>
      <c r="P154" s="1564">
        <f t="shared" si="47"/>
        <v>0</v>
      </c>
      <c r="Q154" s="1564">
        <f t="shared" si="42"/>
        <v>0</v>
      </c>
      <c r="R154" s="1564">
        <f t="shared" si="48"/>
        <v>0</v>
      </c>
      <c r="S154" s="1563"/>
    </row>
    <row r="155" spans="2:19">
      <c r="B155" s="1554">
        <f t="shared" si="43"/>
        <v>103</v>
      </c>
      <c r="D155" s="1560" t="s">
        <v>642</v>
      </c>
      <c r="E155" s="1559">
        <v>31</v>
      </c>
      <c r="F155" s="1561">
        <f t="shared" si="49"/>
        <v>62</v>
      </c>
      <c r="G155" s="1561">
        <f t="shared" si="44"/>
        <v>214</v>
      </c>
      <c r="H155" s="1562">
        <f t="shared" si="40"/>
        <v>0.28971962616822428</v>
      </c>
      <c r="I155" s="1563"/>
      <c r="J155" s="1559">
        <v>0</v>
      </c>
      <c r="K155" s="1564">
        <f t="shared" si="41"/>
        <v>0</v>
      </c>
      <c r="L155" s="1564">
        <f t="shared" si="45"/>
        <v>0</v>
      </c>
      <c r="M155" s="1563"/>
      <c r="N155" s="1559">
        <v>0</v>
      </c>
      <c r="O155" s="1564">
        <f t="shared" si="46"/>
        <v>0</v>
      </c>
      <c r="P155" s="1564">
        <f t="shared" si="47"/>
        <v>0</v>
      </c>
      <c r="Q155" s="1564">
        <f t="shared" si="42"/>
        <v>0</v>
      </c>
      <c r="R155" s="1564">
        <f t="shared" si="48"/>
        <v>0</v>
      </c>
      <c r="S155" s="1563"/>
    </row>
    <row r="156" spans="2:19">
      <c r="B156" s="1554">
        <f t="shared" si="43"/>
        <v>104</v>
      </c>
      <c r="D156" s="1560" t="s">
        <v>643</v>
      </c>
      <c r="E156" s="1559">
        <v>30</v>
      </c>
      <c r="F156" s="1561">
        <f t="shared" si="49"/>
        <v>32</v>
      </c>
      <c r="G156" s="1561">
        <f t="shared" si="44"/>
        <v>214</v>
      </c>
      <c r="H156" s="1562">
        <f t="shared" si="40"/>
        <v>0.14953271028037382</v>
      </c>
      <c r="I156" s="1563"/>
      <c r="J156" s="1559">
        <v>0</v>
      </c>
      <c r="K156" s="1564">
        <f t="shared" si="41"/>
        <v>0</v>
      </c>
      <c r="L156" s="1564">
        <f t="shared" si="45"/>
        <v>0</v>
      </c>
      <c r="M156" s="1563"/>
      <c r="N156" s="1559">
        <v>0</v>
      </c>
      <c r="O156" s="1564">
        <f t="shared" si="46"/>
        <v>0</v>
      </c>
      <c r="P156" s="1564">
        <f t="shared" si="47"/>
        <v>0</v>
      </c>
      <c r="Q156" s="1564">
        <f t="shared" si="42"/>
        <v>0</v>
      </c>
      <c r="R156" s="1564">
        <f t="shared" si="48"/>
        <v>0</v>
      </c>
      <c r="S156" s="1563"/>
    </row>
    <row r="157" spans="2:19">
      <c r="B157" s="1554">
        <f t="shared" si="43"/>
        <v>105</v>
      </c>
      <c r="D157" s="1565" t="s">
        <v>869</v>
      </c>
      <c r="E157" s="1559">
        <v>31</v>
      </c>
      <c r="F157" s="1566">
        <v>1</v>
      </c>
      <c r="G157" s="1561">
        <f t="shared" si="44"/>
        <v>214</v>
      </c>
      <c r="H157" s="1562">
        <f t="shared" si="40"/>
        <v>4.6728971962616819E-3</v>
      </c>
      <c r="I157" s="1563"/>
      <c r="J157" s="1559">
        <v>0</v>
      </c>
      <c r="K157" s="1564">
        <f t="shared" si="41"/>
        <v>0</v>
      </c>
      <c r="L157" s="1564">
        <f t="shared" si="45"/>
        <v>0</v>
      </c>
      <c r="M157" s="1563"/>
      <c r="N157" s="1559">
        <v>0</v>
      </c>
      <c r="O157" s="1564">
        <f t="shared" si="46"/>
        <v>0</v>
      </c>
      <c r="P157" s="1564">
        <f t="shared" si="47"/>
        <v>0</v>
      </c>
      <c r="Q157" s="1564">
        <f t="shared" si="42"/>
        <v>0</v>
      </c>
      <c r="R157" s="1564">
        <f t="shared" si="48"/>
        <v>0</v>
      </c>
      <c r="S157" s="1563"/>
    </row>
    <row r="158" spans="2:19">
      <c r="B158" s="1554">
        <f t="shared" si="43"/>
        <v>106</v>
      </c>
      <c r="D158" s="1567" t="str">
        <f>"Total (Sum of Lines "&amp;B146&amp;" - "&amp;B157&amp;")"</f>
        <v>Total (Sum of Lines 94 - 105)</v>
      </c>
      <c r="E158" s="1568">
        <f>SUM(E146:E157)</f>
        <v>365</v>
      </c>
      <c r="F158" s="1569"/>
      <c r="G158" s="1569"/>
      <c r="H158" s="1570"/>
      <c r="I158" s="1571"/>
      <c r="J158" s="1568">
        <f>SUM(J146:J157)</f>
        <v>0</v>
      </c>
      <c r="K158" s="1568">
        <f>SUM(K146:K157)</f>
        <v>0</v>
      </c>
      <c r="L158" s="1572"/>
      <c r="M158" s="1571"/>
      <c r="N158" s="1568">
        <f>SUM(N146:N157)</f>
        <v>0</v>
      </c>
      <c r="O158" s="1568">
        <f>SUM(O146:O157)</f>
        <v>0</v>
      </c>
      <c r="P158" s="1568">
        <f>SUM(P146:P157)</f>
        <v>0</v>
      </c>
      <c r="Q158" s="1568">
        <f>SUM(Q146:Q157)</f>
        <v>0</v>
      </c>
      <c r="R158" s="1572"/>
      <c r="S158" s="1571"/>
    </row>
    <row r="159" spans="2:19">
      <c r="D159" s="1573"/>
      <c r="E159" s="1573"/>
      <c r="F159" s="1573"/>
      <c r="G159" s="1573"/>
      <c r="H159" s="1574"/>
      <c r="I159" s="1574"/>
      <c r="K159" s="1575"/>
      <c r="L159" s="1574"/>
      <c r="M159" s="1574"/>
      <c r="N159" s="1585"/>
      <c r="O159" s="1575"/>
      <c r="P159" s="1575"/>
      <c r="Q159" s="1575"/>
      <c r="R159" s="1574"/>
      <c r="S159" s="1574"/>
    </row>
    <row r="160" spans="2:19">
      <c r="B160" s="1554">
        <f>B158+1</f>
        <v>107</v>
      </c>
      <c r="D160" s="1199" t="s">
        <v>1607</v>
      </c>
      <c r="I160" s="1574"/>
      <c r="J160" s="1559" t="s">
        <v>1899</v>
      </c>
      <c r="L160" s="1559">
        <v>0</v>
      </c>
      <c r="M160" s="1576"/>
      <c r="N160" s="1559" t="s">
        <v>1899</v>
      </c>
      <c r="R160" s="1559">
        <v>0</v>
      </c>
    </row>
    <row r="161" spans="1:19">
      <c r="B161" s="1554">
        <f>B160+1</f>
        <v>108</v>
      </c>
      <c r="D161" s="1199" t="s">
        <v>1608</v>
      </c>
      <c r="I161" s="1574"/>
      <c r="J161" s="1577" t="s">
        <v>759</v>
      </c>
      <c r="L161" s="1578">
        <v>0</v>
      </c>
      <c r="M161" s="1579"/>
      <c r="N161" s="1577"/>
      <c r="R161" s="1578">
        <v>0</v>
      </c>
    </row>
    <row r="162" spans="1:19">
      <c r="B162" s="1554">
        <f>B161+1</f>
        <v>109</v>
      </c>
      <c r="D162" s="1199" t="s">
        <v>1609</v>
      </c>
      <c r="I162" s="1574"/>
      <c r="J162" s="1567" t="str">
        <f>"(Col. "&amp;L141&amp;", Line "&amp;B160&amp;" + Line "&amp;B161&amp;")"</f>
        <v>(Col. (H), Line 107 + Line 108)</v>
      </c>
      <c r="L162" s="1580">
        <f>L160+L161</f>
        <v>0</v>
      </c>
      <c r="M162" s="1574"/>
      <c r="N162" s="1567" t="str">
        <f>"(Col. "&amp;R141&amp;", Line "&amp;B160&amp;" + Line "&amp;B161&amp;")"</f>
        <v>(Col. (M), Line 107 + Line 108)</v>
      </c>
      <c r="R162" s="1580">
        <f>R160+R161</f>
        <v>0</v>
      </c>
    </row>
    <row r="163" spans="1:19">
      <c r="I163" s="1574"/>
      <c r="L163" s="1580"/>
      <c r="M163" s="1574"/>
      <c r="R163" s="1580"/>
    </row>
    <row r="164" spans="1:19">
      <c r="B164" s="1554">
        <f>B162+1</f>
        <v>110</v>
      </c>
      <c r="D164" s="1199" t="s">
        <v>1610</v>
      </c>
      <c r="I164" s="1574"/>
      <c r="J164" s="1559" t="s">
        <v>1995</v>
      </c>
      <c r="L164" s="1559">
        <v>0</v>
      </c>
      <c r="M164" s="1576"/>
      <c r="N164" s="1559" t="s">
        <v>1995</v>
      </c>
      <c r="R164" s="1559">
        <v>0</v>
      </c>
    </row>
    <row r="165" spans="1:19">
      <c r="B165" s="1554">
        <f>B164+1</f>
        <v>111</v>
      </c>
      <c r="D165" s="1199" t="s">
        <v>1611</v>
      </c>
      <c r="I165" s="1574"/>
      <c r="J165" s="1577" t="s">
        <v>759</v>
      </c>
      <c r="L165" s="1578">
        <v>0</v>
      </c>
      <c r="M165" s="1574"/>
      <c r="N165" s="1577"/>
      <c r="R165" s="1578">
        <v>0</v>
      </c>
    </row>
    <row r="166" spans="1:19">
      <c r="B166" s="1554">
        <f>B165+1</f>
        <v>112</v>
      </c>
      <c r="D166" s="1199" t="s">
        <v>1612</v>
      </c>
      <c r="I166" s="1574"/>
      <c r="J166" s="1567" t="str">
        <f>"(Col. "&amp;L141&amp;", Line "&amp;B164&amp;" + Line "&amp;B165&amp;")"</f>
        <v>(Col. (H), Line 110 + Line 111)</v>
      </c>
      <c r="L166" s="1580">
        <f>L164+L165</f>
        <v>0</v>
      </c>
      <c r="M166" s="1574"/>
      <c r="N166" s="1567" t="str">
        <f>"(Col. "&amp;R141&amp;", Line "&amp;B164&amp;" + Line "&amp;B165&amp;")"</f>
        <v>(Col. (M), Line 110 + Line 111)</v>
      </c>
      <c r="R166" s="1580">
        <f>R164+R165</f>
        <v>0</v>
      </c>
    </row>
    <row r="167" spans="1:19">
      <c r="I167" s="1574"/>
      <c r="L167" s="1580"/>
      <c r="M167" s="1574"/>
      <c r="R167" s="1580"/>
    </row>
    <row r="168" spans="1:19">
      <c r="B168" s="1554">
        <f>B166+1</f>
        <v>113</v>
      </c>
      <c r="D168" s="1199" t="s">
        <v>1131</v>
      </c>
      <c r="I168" s="1574"/>
      <c r="J168" s="1567" t="str">
        <f>"([Col. "&amp;L141&amp;", Line "&amp;B162&amp;" + Line "&amp;B166&amp;"] /2)"</f>
        <v>([Col. (H), Line 109 + Line 112] /2)</v>
      </c>
      <c r="L168" s="1564">
        <f>(L162+L166)/2</f>
        <v>0</v>
      </c>
      <c r="M168" s="1574"/>
      <c r="N168" s="1567" t="str">
        <f>"([Col. "&amp;R141&amp;", Line "&amp;B162&amp;" + Line "&amp;B166&amp;"] /2)"</f>
        <v>([Col. (M), Line 109 + Line 112] /2)</v>
      </c>
      <c r="R168" s="1564">
        <f>(R162+R166)/2</f>
        <v>0</v>
      </c>
    </row>
    <row r="169" spans="1:19">
      <c r="B169" s="1554">
        <f>B168+1</f>
        <v>114</v>
      </c>
      <c r="D169" s="1573" t="s">
        <v>1613</v>
      </c>
      <c r="E169" s="1573"/>
      <c r="F169" s="1573"/>
      <c r="G169" s="1573"/>
      <c r="H169" s="1574"/>
      <c r="I169" s="1574"/>
      <c r="J169" s="1567" t="str">
        <f>"(Col. "&amp;L141&amp;", Line "&amp;B157&amp;" )"</f>
        <v>(Col. (H), Line 105 )</v>
      </c>
      <c r="K169" s="1575"/>
      <c r="L169" s="1564">
        <f>L157</f>
        <v>0</v>
      </c>
      <c r="M169" s="1574"/>
      <c r="N169" s="1567" t="str">
        <f>"(Col. "&amp;R141&amp;", Line "&amp;B157&amp;" )"</f>
        <v>(Col. (M), Line 105 )</v>
      </c>
      <c r="R169" s="1564">
        <f>R157</f>
        <v>0</v>
      </c>
    </row>
    <row r="170" spans="1:19" ht="13.5" thickBot="1">
      <c r="B170" s="1554">
        <f>B169+1</f>
        <v>115</v>
      </c>
      <c r="D170" s="1581" t="s">
        <v>1614</v>
      </c>
      <c r="E170" s="1573"/>
      <c r="F170" s="1573"/>
      <c r="G170" s="1573"/>
      <c r="H170" s="1574"/>
      <c r="I170" s="1574"/>
      <c r="J170" s="1567" t="str">
        <f>"(Col. "&amp;L141&amp;", Line "&amp;B168&amp;" + Line "&amp;B169&amp;")"</f>
        <v>(Col. (H), Line 113 + Line 114)</v>
      </c>
      <c r="K170" s="1575"/>
      <c r="L170" s="1582">
        <f>L168+L169</f>
        <v>0</v>
      </c>
      <c r="M170" s="1574"/>
      <c r="N170" s="1567" t="str">
        <f>"(Col. "&amp;R141&amp;", Line "&amp;B168&amp;" + Line "&amp;B169&amp;")"</f>
        <v>(Col. (M), Line 113 + Line 114)</v>
      </c>
      <c r="R170" s="1582">
        <f>R168+R169</f>
        <v>0</v>
      </c>
    </row>
    <row r="171" spans="1:19">
      <c r="D171" s="1573"/>
      <c r="E171" s="1573"/>
      <c r="F171" s="1573"/>
      <c r="G171" s="1573"/>
      <c r="H171" s="1574"/>
      <c r="I171" s="1574"/>
      <c r="K171" s="1575"/>
      <c r="L171" s="1574"/>
      <c r="M171" s="1574"/>
      <c r="O171" s="1575"/>
      <c r="P171" s="1575"/>
      <c r="Q171" s="1575"/>
      <c r="R171" s="1574"/>
      <c r="S171" s="1574"/>
    </row>
    <row r="172" spans="1:19">
      <c r="A172" s="1586"/>
      <c r="B172" s="1587" t="s">
        <v>1556</v>
      </c>
      <c r="C172" s="1586"/>
      <c r="D172" s="1586"/>
      <c r="E172" s="1586"/>
      <c r="F172" s="1586"/>
      <c r="G172" s="1586"/>
      <c r="H172" s="1586"/>
      <c r="I172" s="1586"/>
      <c r="J172" s="1586"/>
      <c r="K172" s="1586"/>
      <c r="L172" s="1586"/>
      <c r="M172" s="1586"/>
      <c r="N172" s="1586"/>
      <c r="O172" s="1586"/>
      <c r="P172" s="1586"/>
      <c r="Q172" s="1586"/>
      <c r="R172" s="1586"/>
      <c r="S172" s="1586"/>
    </row>
    <row r="174" spans="1:19" ht="12.75" customHeight="1">
      <c r="B174" s="1860" t="s">
        <v>1615</v>
      </c>
      <c r="C174" s="1860"/>
      <c r="D174" s="1860"/>
      <c r="E174" s="1860"/>
      <c r="F174" s="1860"/>
      <c r="G174" s="1860"/>
      <c r="H174" s="1860"/>
      <c r="I174" s="1860"/>
      <c r="J174" s="1860"/>
      <c r="K174" s="1860"/>
      <c r="L174" s="1860"/>
      <c r="M174" s="1574"/>
      <c r="O174" s="1575"/>
      <c r="P174" s="1575"/>
      <c r="Q174" s="1575"/>
      <c r="R174" s="1574"/>
      <c r="S174" s="1574"/>
    </row>
    <row r="175" spans="1:19">
      <c r="B175" s="1860"/>
      <c r="C175" s="1860"/>
      <c r="D175" s="1860"/>
      <c r="E175" s="1860"/>
      <c r="F175" s="1860"/>
      <c r="G175" s="1860"/>
      <c r="H175" s="1860"/>
      <c r="I175" s="1860"/>
      <c r="J175" s="1860"/>
      <c r="K175" s="1860"/>
      <c r="L175" s="1860"/>
      <c r="M175" s="1574"/>
      <c r="O175" s="1575"/>
      <c r="P175" s="1575"/>
      <c r="Q175" s="1575"/>
      <c r="R175" s="1574"/>
      <c r="S175" s="1574"/>
    </row>
    <row r="176" spans="1:19">
      <c r="D176" s="1573"/>
      <c r="E176" s="1573"/>
      <c r="F176" s="1573"/>
      <c r="G176" s="1573"/>
      <c r="H176" s="1574"/>
      <c r="I176" s="1574"/>
      <c r="K176" s="1575"/>
      <c r="L176" s="1574"/>
      <c r="M176" s="1574"/>
      <c r="O176" s="1575"/>
      <c r="P176" s="1575"/>
      <c r="Q176" s="1575"/>
      <c r="R176" s="1574"/>
      <c r="S176" s="1574"/>
    </row>
    <row r="177" spans="1:19">
      <c r="B177" s="1552" t="s">
        <v>1616</v>
      </c>
      <c r="D177" s="1588" t="s">
        <v>748</v>
      </c>
      <c r="E177" s="1589" t="str">
        <f>IF(D177="Projected Activity","Check",IF(D177="True-Up Adjustment","Check","Error"))</f>
        <v>Check</v>
      </c>
      <c r="F177" s="1574"/>
      <c r="G177" s="1574"/>
      <c r="H177" s="1574"/>
      <c r="I177" s="1574"/>
      <c r="K177" s="1575"/>
      <c r="L177" s="1574"/>
      <c r="M177" s="1574"/>
      <c r="O177" s="1575"/>
      <c r="P177" s="1575"/>
      <c r="Q177" s="1575"/>
      <c r="R177" s="1574"/>
      <c r="S177" s="1574"/>
    </row>
    <row r="178" spans="1:19">
      <c r="D178" s="1573"/>
      <c r="E178" s="1573"/>
      <c r="F178" s="1573"/>
      <c r="G178" s="1573"/>
      <c r="H178" s="1574"/>
      <c r="I178" s="1574"/>
      <c r="K178" s="1575"/>
      <c r="L178" s="1574"/>
      <c r="M178" s="1574"/>
      <c r="O178" s="1575"/>
      <c r="P178" s="1575"/>
      <c r="Q178" s="1575"/>
      <c r="R178" s="1574"/>
      <c r="S178" s="1574"/>
    </row>
    <row r="179" spans="1:19">
      <c r="B179" s="1869" t="s">
        <v>1617</v>
      </c>
      <c r="C179" s="1869"/>
      <c r="D179" s="1869"/>
      <c r="E179" s="1869"/>
      <c r="F179" s="1869"/>
      <c r="G179" s="1869"/>
      <c r="H179" s="1869"/>
      <c r="I179" s="1869"/>
      <c r="J179" s="1869"/>
      <c r="K179" s="1869"/>
      <c r="L179" s="1869"/>
      <c r="M179" s="1574"/>
      <c r="O179" s="1575"/>
      <c r="P179" s="1575"/>
      <c r="Q179" s="1575"/>
      <c r="R179" s="1574"/>
      <c r="S179" s="1574"/>
    </row>
    <row r="180" spans="1:19">
      <c r="B180" s="1869"/>
      <c r="C180" s="1869"/>
      <c r="D180" s="1869"/>
      <c r="E180" s="1869"/>
      <c r="F180" s="1869"/>
      <c r="G180" s="1869"/>
      <c r="H180" s="1869"/>
      <c r="I180" s="1869"/>
      <c r="J180" s="1869"/>
      <c r="K180" s="1869"/>
      <c r="L180" s="1869"/>
      <c r="M180" s="1574"/>
      <c r="O180" s="1575"/>
      <c r="P180" s="1575"/>
      <c r="Q180" s="1575"/>
      <c r="R180" s="1574"/>
      <c r="S180" s="1574"/>
    </row>
    <row r="181" spans="1:19">
      <c r="D181" s="1573"/>
      <c r="E181" s="1573"/>
      <c r="F181" s="1573"/>
      <c r="G181" s="1573"/>
      <c r="H181" s="1574"/>
      <c r="I181" s="1574"/>
      <c r="K181" s="1575"/>
      <c r="L181" s="1574"/>
      <c r="M181" s="1574"/>
      <c r="O181" s="1575"/>
      <c r="P181" s="1575"/>
      <c r="Q181" s="1575"/>
      <c r="R181" s="1574"/>
      <c r="S181" s="1574"/>
    </row>
    <row r="182" spans="1:19">
      <c r="A182" s="1586"/>
      <c r="B182" s="1587" t="s">
        <v>1054</v>
      </c>
      <c r="C182" s="1586"/>
      <c r="D182" s="1586"/>
      <c r="E182" s="1586"/>
      <c r="F182" s="1586"/>
      <c r="G182" s="1586"/>
      <c r="H182" s="1586"/>
      <c r="I182" s="1586"/>
      <c r="J182" s="1586"/>
      <c r="K182" s="1586"/>
      <c r="L182" s="1586"/>
      <c r="M182" s="1586"/>
      <c r="N182" s="1586"/>
      <c r="O182" s="1586"/>
      <c r="P182" s="1586"/>
      <c r="Q182" s="1586"/>
      <c r="R182" s="1586"/>
      <c r="S182" s="1586"/>
    </row>
    <row r="184" spans="1:19" ht="15.75" customHeight="1">
      <c r="A184" s="1551"/>
      <c r="B184" s="1552" t="s">
        <v>9</v>
      </c>
      <c r="C184" s="1860" t="s">
        <v>1129</v>
      </c>
      <c r="D184" s="1860"/>
      <c r="E184" s="1860"/>
      <c r="F184" s="1860"/>
      <c r="G184" s="1860"/>
      <c r="H184" s="1860"/>
      <c r="I184" s="1860"/>
      <c r="J184" s="1860"/>
      <c r="K184" s="1860"/>
      <c r="L184" s="1860"/>
    </row>
    <row r="185" spans="1:19">
      <c r="A185" s="1551"/>
      <c r="B185" s="1552"/>
      <c r="C185" s="1860"/>
      <c r="D185" s="1860"/>
      <c r="E185" s="1860"/>
      <c r="F185" s="1860"/>
      <c r="G185" s="1860"/>
      <c r="H185" s="1860"/>
      <c r="I185" s="1860"/>
      <c r="J185" s="1860"/>
      <c r="K185" s="1860"/>
      <c r="L185" s="1860"/>
    </row>
    <row r="186" spans="1:19">
      <c r="C186" s="1860"/>
      <c r="D186" s="1860"/>
      <c r="E186" s="1860"/>
      <c r="F186" s="1860"/>
      <c r="G186" s="1860"/>
      <c r="H186" s="1860"/>
      <c r="I186" s="1860"/>
      <c r="J186" s="1860"/>
      <c r="K186" s="1860"/>
      <c r="L186" s="1860"/>
    </row>
    <row r="187" spans="1:19">
      <c r="C187" s="1860"/>
      <c r="D187" s="1860"/>
      <c r="E187" s="1860"/>
      <c r="F187" s="1860"/>
      <c r="G187" s="1860"/>
      <c r="H187" s="1860"/>
      <c r="I187" s="1860"/>
      <c r="J187" s="1860"/>
      <c r="K187" s="1860"/>
      <c r="L187" s="1860"/>
    </row>
    <row r="188" spans="1:19" ht="15.75" customHeight="1">
      <c r="A188" s="1551"/>
      <c r="B188" s="1552" t="s">
        <v>10</v>
      </c>
      <c r="C188" s="1860" t="s">
        <v>1128</v>
      </c>
      <c r="D188" s="1860"/>
      <c r="E188" s="1860"/>
      <c r="F188" s="1860"/>
      <c r="G188" s="1860"/>
      <c r="H188" s="1860"/>
      <c r="I188" s="1860"/>
      <c r="J188" s="1860"/>
      <c r="K188" s="1860"/>
      <c r="L188" s="1860"/>
    </row>
    <row r="189" spans="1:19">
      <c r="A189" s="1551"/>
      <c r="B189" s="1552"/>
      <c r="C189" s="1860"/>
      <c r="D189" s="1860"/>
      <c r="E189" s="1860"/>
      <c r="F189" s="1860"/>
      <c r="G189" s="1860"/>
      <c r="H189" s="1860"/>
      <c r="I189" s="1860"/>
      <c r="J189" s="1860"/>
      <c r="K189" s="1860"/>
      <c r="L189" s="1860"/>
    </row>
    <row r="190" spans="1:19">
      <c r="A190" s="1551"/>
      <c r="B190" s="1552"/>
      <c r="C190" s="1860"/>
      <c r="D190" s="1860"/>
      <c r="E190" s="1860"/>
      <c r="F190" s="1860"/>
      <c r="G190" s="1860"/>
      <c r="H190" s="1860"/>
      <c r="I190" s="1860"/>
      <c r="J190" s="1860"/>
      <c r="K190" s="1860"/>
      <c r="L190" s="1860"/>
    </row>
    <row r="191" spans="1:19">
      <c r="A191" s="1551"/>
      <c r="B191" s="1552"/>
      <c r="C191" s="1860"/>
      <c r="D191" s="1860"/>
      <c r="E191" s="1860"/>
      <c r="F191" s="1860"/>
      <c r="G191" s="1860"/>
      <c r="H191" s="1860"/>
      <c r="I191" s="1860"/>
      <c r="J191" s="1860"/>
      <c r="K191" s="1860"/>
      <c r="L191" s="1860"/>
    </row>
    <row r="192" spans="1:19">
      <c r="A192" s="1551"/>
      <c r="B192" s="1552"/>
      <c r="C192" s="1860"/>
      <c r="D192" s="1860"/>
      <c r="E192" s="1860"/>
      <c r="F192" s="1860"/>
      <c r="G192" s="1860"/>
      <c r="H192" s="1860"/>
      <c r="I192" s="1860"/>
      <c r="J192" s="1860"/>
      <c r="K192" s="1860"/>
      <c r="L192" s="1860"/>
    </row>
    <row r="193" spans="1:12">
      <c r="C193" s="1860"/>
      <c r="D193" s="1860"/>
      <c r="E193" s="1860"/>
      <c r="F193" s="1860"/>
      <c r="G193" s="1860"/>
      <c r="H193" s="1860"/>
      <c r="I193" s="1860"/>
      <c r="J193" s="1860"/>
      <c r="K193" s="1860"/>
      <c r="L193" s="1860"/>
    </row>
    <row r="194" spans="1:12">
      <c r="C194" s="1860"/>
      <c r="D194" s="1860"/>
      <c r="E194" s="1860"/>
      <c r="F194" s="1860"/>
      <c r="G194" s="1860"/>
      <c r="H194" s="1860"/>
      <c r="I194" s="1860"/>
      <c r="J194" s="1860"/>
      <c r="K194" s="1860"/>
      <c r="L194" s="1860"/>
    </row>
    <row r="195" spans="1:12" ht="15.75" customHeight="1">
      <c r="A195" s="1551"/>
      <c r="B195" s="1552" t="s">
        <v>11</v>
      </c>
      <c r="C195" s="1860" t="s">
        <v>1127</v>
      </c>
      <c r="D195" s="1860"/>
      <c r="E195" s="1860"/>
      <c r="F195" s="1860"/>
      <c r="G195" s="1860"/>
      <c r="H195" s="1860"/>
      <c r="I195" s="1860"/>
      <c r="J195" s="1860"/>
      <c r="K195" s="1860"/>
      <c r="L195" s="1860"/>
    </row>
    <row r="196" spans="1:12">
      <c r="A196" s="1551"/>
      <c r="B196" s="1552"/>
      <c r="C196" s="1860"/>
      <c r="D196" s="1860"/>
      <c r="E196" s="1860"/>
      <c r="F196" s="1860"/>
      <c r="G196" s="1860"/>
      <c r="H196" s="1860"/>
      <c r="I196" s="1860"/>
      <c r="J196" s="1860"/>
      <c r="K196" s="1860"/>
      <c r="L196" s="1860"/>
    </row>
    <row r="197" spans="1:12">
      <c r="A197" s="1551"/>
      <c r="B197" s="1552"/>
      <c r="C197" s="1860"/>
      <c r="D197" s="1860"/>
      <c r="E197" s="1860"/>
      <c r="F197" s="1860"/>
      <c r="G197" s="1860"/>
      <c r="H197" s="1860"/>
      <c r="I197" s="1860"/>
      <c r="J197" s="1860"/>
      <c r="K197" s="1860"/>
      <c r="L197" s="1860"/>
    </row>
    <row r="198" spans="1:12">
      <c r="A198" s="1551"/>
      <c r="B198" s="1552"/>
      <c r="C198" s="1860"/>
      <c r="D198" s="1860"/>
      <c r="E198" s="1860"/>
      <c r="F198" s="1860"/>
      <c r="G198" s="1860"/>
      <c r="H198" s="1860"/>
      <c r="I198" s="1860"/>
      <c r="J198" s="1860"/>
      <c r="K198" s="1860"/>
      <c r="L198" s="1860"/>
    </row>
    <row r="199" spans="1:12" ht="15.75" customHeight="1">
      <c r="A199" s="1551"/>
      <c r="B199" s="1552" t="s">
        <v>14</v>
      </c>
      <c r="C199" s="1860" t="s">
        <v>1126</v>
      </c>
      <c r="D199" s="1860"/>
      <c r="E199" s="1860"/>
      <c r="F199" s="1860"/>
      <c r="G199" s="1860"/>
      <c r="H199" s="1860"/>
      <c r="I199" s="1860"/>
      <c r="J199" s="1860"/>
      <c r="K199" s="1860"/>
      <c r="L199" s="1860"/>
    </row>
    <row r="200" spans="1:12" ht="15.75" customHeight="1">
      <c r="C200" s="1860"/>
      <c r="D200" s="1860"/>
      <c r="E200" s="1860"/>
      <c r="F200" s="1860"/>
      <c r="G200" s="1860"/>
      <c r="H200" s="1860"/>
      <c r="I200" s="1860"/>
      <c r="J200" s="1860"/>
      <c r="K200" s="1860"/>
      <c r="L200" s="1860"/>
    </row>
    <row r="201" spans="1:12" ht="15.75" customHeight="1">
      <c r="A201" s="1551"/>
      <c r="B201" s="1552" t="s">
        <v>166</v>
      </c>
      <c r="C201" s="1860" t="s">
        <v>1125</v>
      </c>
      <c r="D201" s="1860"/>
      <c r="E201" s="1860"/>
      <c r="F201" s="1860"/>
      <c r="G201" s="1860"/>
      <c r="H201" s="1860"/>
      <c r="I201" s="1860"/>
      <c r="J201" s="1860"/>
      <c r="K201" s="1860"/>
      <c r="L201" s="1860"/>
    </row>
    <row r="202" spans="1:12" ht="15.75" customHeight="1">
      <c r="C202" s="1860"/>
      <c r="D202" s="1860"/>
      <c r="E202" s="1860"/>
      <c r="F202" s="1860"/>
      <c r="G202" s="1860"/>
      <c r="H202" s="1860"/>
      <c r="I202" s="1860"/>
      <c r="J202" s="1860"/>
      <c r="K202" s="1860"/>
      <c r="L202" s="1860"/>
    </row>
    <row r="203" spans="1:12" ht="15.75" customHeight="1">
      <c r="A203" s="1551"/>
      <c r="B203" s="1552" t="s">
        <v>169</v>
      </c>
      <c r="C203" s="1861" t="s">
        <v>1124</v>
      </c>
      <c r="D203" s="1861"/>
      <c r="E203" s="1861"/>
      <c r="F203" s="1861"/>
      <c r="G203" s="1861"/>
      <c r="H203" s="1861"/>
      <c r="I203" s="1861"/>
      <c r="J203" s="1861"/>
      <c r="K203" s="1861"/>
      <c r="L203" s="1861"/>
    </row>
    <row r="204" spans="1:12">
      <c r="C204" s="1861"/>
      <c r="D204" s="1861"/>
      <c r="E204" s="1861"/>
      <c r="F204" s="1861"/>
      <c r="G204" s="1861"/>
      <c r="H204" s="1861"/>
      <c r="I204" s="1861"/>
      <c r="J204" s="1861"/>
      <c r="K204" s="1861"/>
      <c r="L204" s="1861"/>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36" fitToHeight="2" orientation="landscape" r:id="rId1"/>
  <rowBreaks count="2" manualBreakCount="2">
    <brk id="93" max="18" man="1"/>
    <brk id="138"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topLeftCell="A119" zoomScale="68" zoomScaleNormal="68" zoomScaleSheetLayoutView="70" workbookViewId="0">
      <selection activeCell="J164" sqref="J164"/>
    </sheetView>
  </sheetViews>
  <sheetFormatPr defaultColWidth="11.42578125" defaultRowHeight="12.75"/>
  <cols>
    <col min="1" max="1" width="6.28515625" style="800" customWidth="1"/>
    <col min="2" max="2" width="58.140625" style="801" customWidth="1"/>
    <col min="3" max="3" width="31" style="801" customWidth="1"/>
    <col min="4" max="4" width="24.7109375" style="801" customWidth="1"/>
    <col min="5" max="5" width="20.5703125" style="801" customWidth="1"/>
    <col min="6" max="6" width="22.28515625" style="801" customWidth="1"/>
    <col min="7" max="7" width="23.42578125" style="801" customWidth="1"/>
    <col min="8" max="9" width="23.140625" style="801" customWidth="1"/>
    <col min="10" max="10" width="27.5703125" style="801" customWidth="1"/>
    <col min="11" max="11" width="26.140625" style="801" customWidth="1"/>
    <col min="12" max="12" width="21" style="801" customWidth="1"/>
    <col min="13" max="13" width="20.28515625" style="801" customWidth="1"/>
    <col min="14" max="16" width="15.140625" style="801" customWidth="1"/>
    <col min="17" max="16384" width="11.42578125" style="801"/>
  </cols>
  <sheetData>
    <row r="1" spans="1:17">
      <c r="D1" s="802"/>
      <c r="E1" s="802"/>
      <c r="G1" s="803" t="s">
        <v>668</v>
      </c>
      <c r="H1" s="802"/>
      <c r="I1" s="1158"/>
      <c r="J1" s="802"/>
    </row>
    <row r="2" spans="1:17">
      <c r="A2" s="805"/>
      <c r="D2" s="802"/>
      <c r="E2" s="802"/>
      <c r="F2" s="802"/>
      <c r="G2" s="806" t="s">
        <v>611</v>
      </c>
      <c r="H2" s="802"/>
      <c r="I2" s="802"/>
      <c r="J2" s="802"/>
      <c r="K2" s="802"/>
      <c r="M2" s="807"/>
      <c r="P2" s="802"/>
    </row>
    <row r="3" spans="1:17">
      <c r="A3" s="805"/>
      <c r="D3" s="802"/>
      <c r="E3" s="802"/>
      <c r="F3" s="802"/>
      <c r="G3" s="808" t="s">
        <v>176</v>
      </c>
      <c r="H3" s="802"/>
      <c r="I3" s="802"/>
      <c r="J3" s="802"/>
      <c r="K3" s="802"/>
      <c r="P3" s="802"/>
    </row>
    <row r="4" spans="1:17">
      <c r="A4" s="805"/>
      <c r="D4" s="802"/>
      <c r="E4" s="802"/>
      <c r="F4" s="802"/>
      <c r="G4" s="802"/>
      <c r="H4" s="802"/>
      <c r="I4" s="802"/>
      <c r="J4" s="802"/>
      <c r="K4" s="802"/>
      <c r="P4" s="802"/>
    </row>
    <row r="5" spans="1:17">
      <c r="A5" s="805"/>
      <c r="B5" s="809"/>
      <c r="C5" s="809"/>
      <c r="D5" s="809"/>
      <c r="E5" s="809"/>
      <c r="F5" s="809"/>
      <c r="G5" s="809"/>
      <c r="H5" s="809"/>
      <c r="I5" s="809"/>
      <c r="J5" s="809"/>
      <c r="K5" s="809"/>
      <c r="P5" s="802"/>
    </row>
    <row r="6" spans="1:17" s="1076" customFormat="1" ht="15">
      <c r="A6" s="1075"/>
      <c r="B6" s="1340" t="s">
        <v>757</v>
      </c>
      <c r="C6" s="2028" t="s">
        <v>1505</v>
      </c>
      <c r="D6" s="2029"/>
      <c r="E6" s="2030"/>
      <c r="F6" s="2031" t="s">
        <v>88</v>
      </c>
      <c r="G6" s="2032"/>
      <c r="H6" s="2032"/>
      <c r="I6" s="2031" t="s">
        <v>1506</v>
      </c>
      <c r="J6" s="2036"/>
      <c r="K6" s="2028" t="s">
        <v>1507</v>
      </c>
      <c r="L6" s="2032"/>
      <c r="M6" s="2037"/>
      <c r="P6" s="1158"/>
      <c r="Q6" s="1158"/>
    </row>
    <row r="7" spans="1:17" s="1081" customFormat="1" ht="25.5">
      <c r="A7" s="1078" t="s">
        <v>613</v>
      </c>
      <c r="B7" s="812" t="s">
        <v>211</v>
      </c>
      <c r="C7" s="812" t="s">
        <v>275</v>
      </c>
      <c r="D7" s="812" t="s">
        <v>189</v>
      </c>
      <c r="E7" s="1080" t="s">
        <v>614</v>
      </c>
      <c r="F7" s="812" t="s">
        <v>275</v>
      </c>
      <c r="G7" s="812" t="s">
        <v>291</v>
      </c>
      <c r="H7" s="1080" t="s">
        <v>614</v>
      </c>
      <c r="I7" s="812" t="s">
        <v>923</v>
      </c>
      <c r="J7" s="1080" t="s">
        <v>614</v>
      </c>
      <c r="K7" s="812" t="s">
        <v>275</v>
      </c>
      <c r="L7" s="812" t="s">
        <v>189</v>
      </c>
      <c r="M7" s="1080" t="s">
        <v>614</v>
      </c>
      <c r="Q7" s="1076"/>
    </row>
    <row r="8" spans="1:17" s="1082" customFormat="1">
      <c r="A8" s="1075"/>
      <c r="B8" s="810" t="s">
        <v>619</v>
      </c>
      <c r="C8" s="810" t="s">
        <v>620</v>
      </c>
      <c r="D8" s="810" t="s">
        <v>621</v>
      </c>
      <c r="E8" s="812" t="s">
        <v>622</v>
      </c>
      <c r="F8" s="810" t="s">
        <v>623</v>
      </c>
      <c r="G8" s="812" t="s">
        <v>624</v>
      </c>
      <c r="H8" s="810" t="s">
        <v>625</v>
      </c>
      <c r="I8" s="812" t="s">
        <v>626</v>
      </c>
      <c r="J8" s="810" t="s">
        <v>627</v>
      </c>
      <c r="K8" s="812" t="s">
        <v>628</v>
      </c>
      <c r="L8" s="812" t="s">
        <v>629</v>
      </c>
      <c r="M8" s="812" t="s">
        <v>663</v>
      </c>
      <c r="Q8" s="1076"/>
    </row>
    <row r="9" spans="1:17" s="1082" customFormat="1">
      <c r="A9" s="1075"/>
      <c r="B9" s="1079" t="s">
        <v>682</v>
      </c>
      <c r="C9" s="806">
        <v>19</v>
      </c>
      <c r="D9" s="806">
        <v>23</v>
      </c>
      <c r="E9" s="818">
        <v>24</v>
      </c>
      <c r="F9" s="806">
        <v>30</v>
      </c>
      <c r="G9" s="806">
        <v>31</v>
      </c>
      <c r="H9" s="806">
        <v>12</v>
      </c>
      <c r="I9" s="806">
        <v>10</v>
      </c>
      <c r="J9" s="806">
        <v>11</v>
      </c>
      <c r="K9" s="806"/>
      <c r="L9" s="818"/>
      <c r="M9" s="806"/>
    </row>
    <row r="10" spans="1:17" s="816" customFormat="1" ht="77.25" customHeight="1">
      <c r="A10" s="805"/>
      <c r="B10" s="810"/>
      <c r="C10" s="820" t="s">
        <v>630</v>
      </c>
      <c r="D10" s="821" t="s">
        <v>631</v>
      </c>
      <c r="E10" s="822" t="s">
        <v>632</v>
      </c>
      <c r="F10" s="821" t="s">
        <v>633</v>
      </c>
      <c r="G10" s="821" t="s">
        <v>634</v>
      </c>
      <c r="H10" s="822" t="s">
        <v>632</v>
      </c>
      <c r="I10" s="1107" t="s">
        <v>1099</v>
      </c>
      <c r="J10" s="822" t="s">
        <v>632</v>
      </c>
      <c r="K10" s="820" t="s">
        <v>1110</v>
      </c>
      <c r="L10" s="820" t="s">
        <v>1111</v>
      </c>
      <c r="M10" s="820" t="s">
        <v>1112</v>
      </c>
    </row>
    <row r="11" spans="1:17">
      <c r="A11" s="805">
        <v>1</v>
      </c>
      <c r="B11" s="823" t="s">
        <v>635</v>
      </c>
      <c r="C11" s="824">
        <f>+'9A - Gross Plant &amp; ARO'!L11</f>
        <v>1723217446</v>
      </c>
      <c r="D11" s="824">
        <f>+'9A - Gross Plant &amp; ARO'!M11</f>
        <v>465178350</v>
      </c>
      <c r="E11" s="824">
        <f>+'9A - Gross Plant &amp; ARO'!N11</f>
        <v>0</v>
      </c>
      <c r="F11" s="825">
        <f>+'9A - Gross Plant &amp; ARO'!D51</f>
        <v>529881202</v>
      </c>
      <c r="G11" s="825">
        <f>+'9A - Gross Plant &amp; ARO'!E51</f>
        <v>128866187</v>
      </c>
      <c r="H11" s="825">
        <f>+'9A - Gross Plant &amp; ARO'!G51</f>
        <v>0</v>
      </c>
      <c r="I11" s="825">
        <f>+'9A - Gross Plant &amp; ARO'!F51</f>
        <v>39732242.329999998</v>
      </c>
      <c r="J11" s="825">
        <f>+'9A - Gross Plant &amp; ARO'!H51</f>
        <v>0</v>
      </c>
      <c r="K11" s="824">
        <f t="shared" ref="K11:K23" si="0">+C11-F11</f>
        <v>1193336244</v>
      </c>
      <c r="L11" s="824">
        <f>+D11-G11-I11</f>
        <v>296579920.67000002</v>
      </c>
      <c r="M11" s="824">
        <f>+E11-J11-H11</f>
        <v>0</v>
      </c>
    </row>
    <row r="12" spans="1:17">
      <c r="A12" s="805">
        <v>2</v>
      </c>
      <c r="B12" s="823" t="s">
        <v>636</v>
      </c>
      <c r="C12" s="824">
        <f>+'9A - Gross Plant &amp; ARO'!L12</f>
        <v>1730606312.0900002</v>
      </c>
      <c r="D12" s="824">
        <f>+'9A - Gross Plant &amp; ARO'!M12</f>
        <v>470208680.42000008</v>
      </c>
      <c r="E12" s="824">
        <f>+'9A - Gross Plant &amp; ARO'!N12</f>
        <v>0</v>
      </c>
      <c r="F12" s="825">
        <f>+'9A - Gross Plant &amp; ARO'!D52</f>
        <v>531012709</v>
      </c>
      <c r="G12" s="825">
        <f>+'9A - Gross Plant &amp; ARO'!E52</f>
        <v>130581171.78</v>
      </c>
      <c r="H12" s="825">
        <f>+'9A - Gross Plant &amp; ARO'!G52</f>
        <v>0</v>
      </c>
      <c r="I12" s="825">
        <f>+'9A - Gross Plant &amp; ARO'!F52</f>
        <v>41005745.219999999</v>
      </c>
      <c r="J12" s="825">
        <f>+'9A - Gross Plant &amp; ARO'!H52</f>
        <v>0</v>
      </c>
      <c r="K12" s="824">
        <f t="shared" si="0"/>
        <v>1199593603.0900002</v>
      </c>
      <c r="L12" s="824">
        <f>+D12-G12-I12</f>
        <v>298621763.42000008</v>
      </c>
      <c r="M12" s="824">
        <f t="shared" ref="M12:M23" si="1">+E12-J12-H12</f>
        <v>0</v>
      </c>
    </row>
    <row r="13" spans="1:17">
      <c r="A13" s="805">
        <v>3</v>
      </c>
      <c r="B13" s="802" t="s">
        <v>637</v>
      </c>
      <c r="C13" s="824">
        <f>+'9A - Gross Plant &amp; ARO'!L13</f>
        <v>1761567296.5899999</v>
      </c>
      <c r="D13" s="824">
        <f>+'9A - Gross Plant &amp; ARO'!M13</f>
        <v>471720754.98999995</v>
      </c>
      <c r="E13" s="824">
        <f>+'9A - Gross Plant &amp; ARO'!N13</f>
        <v>0</v>
      </c>
      <c r="F13" s="825">
        <f>+'9A - Gross Plant &amp; ARO'!D53</f>
        <v>532809339</v>
      </c>
      <c r="G13" s="825">
        <f>+'9A - Gross Plant &amp; ARO'!E53</f>
        <v>131598939.3</v>
      </c>
      <c r="H13" s="825">
        <f>+'9A - Gross Plant &amp; ARO'!G53</f>
        <v>0</v>
      </c>
      <c r="I13" s="825">
        <f>+'9A - Gross Plant &amp; ARO'!F53</f>
        <v>42289960.700000003</v>
      </c>
      <c r="J13" s="825">
        <f>+'9A - Gross Plant &amp; ARO'!H53</f>
        <v>0</v>
      </c>
      <c r="K13" s="824">
        <f t="shared" si="0"/>
        <v>1228757957.5899999</v>
      </c>
      <c r="L13" s="824">
        <f t="shared" ref="L13:L23" si="2">+D13-G13-I13</f>
        <v>297831854.98999995</v>
      </c>
      <c r="M13" s="824">
        <f t="shared" si="1"/>
        <v>0</v>
      </c>
    </row>
    <row r="14" spans="1:17">
      <c r="A14" s="805">
        <v>4</v>
      </c>
      <c r="B14" s="802" t="s">
        <v>638</v>
      </c>
      <c r="C14" s="824">
        <f>+'9A - Gross Plant &amp; ARO'!L14</f>
        <v>1758900749.24</v>
      </c>
      <c r="D14" s="824">
        <f>+'9A - Gross Plant &amp; ARO'!M14</f>
        <v>475951150.03622103</v>
      </c>
      <c r="E14" s="824">
        <f>+'9A - Gross Plant &amp; ARO'!N14</f>
        <v>0</v>
      </c>
      <c r="F14" s="825">
        <f>+'9A - Gross Plant &amp; ARO'!D54</f>
        <v>535175134</v>
      </c>
      <c r="G14" s="825">
        <f>+'9A - Gross Plant &amp; ARO'!E54</f>
        <v>132625554.78</v>
      </c>
      <c r="H14" s="825">
        <f>+'9A - Gross Plant &amp; ARO'!G54</f>
        <v>0</v>
      </c>
      <c r="I14" s="825">
        <f>+'9A - Gross Plant &amp; ARO'!F54</f>
        <v>43602892.219999999</v>
      </c>
      <c r="J14" s="825">
        <f>+'9A - Gross Plant &amp; ARO'!H54</f>
        <v>0</v>
      </c>
      <c r="K14" s="824">
        <f t="shared" si="0"/>
        <v>1223725615.24</v>
      </c>
      <c r="L14" s="824">
        <f t="shared" si="2"/>
        <v>299722703.03622103</v>
      </c>
      <c r="M14" s="824">
        <f t="shared" si="1"/>
        <v>0</v>
      </c>
    </row>
    <row r="15" spans="1:17">
      <c r="A15" s="805">
        <v>5</v>
      </c>
      <c r="B15" s="802" t="s">
        <v>213</v>
      </c>
      <c r="C15" s="824">
        <f>+'9A - Gross Plant &amp; ARO'!L15</f>
        <v>1763477401.5899999</v>
      </c>
      <c r="D15" s="824">
        <f>+'9A - Gross Plant &amp; ARO'!M15</f>
        <v>477651729.77999991</v>
      </c>
      <c r="E15" s="824">
        <f>+'9A - Gross Plant &amp; ARO'!N15</f>
        <v>0</v>
      </c>
      <c r="F15" s="825">
        <f>+'9A - Gross Plant &amp; ARO'!D55</f>
        <v>535906434</v>
      </c>
      <c r="G15" s="825">
        <f>+'9A - Gross Plant &amp; ARO'!E55</f>
        <v>133418112.3</v>
      </c>
      <c r="H15" s="825">
        <f>+'9A - Gross Plant &amp; ARO'!G55</f>
        <v>0</v>
      </c>
      <c r="I15" s="825">
        <f>+'9A - Gross Plant &amp; ARO'!F55</f>
        <v>44933024.700000003</v>
      </c>
      <c r="J15" s="825">
        <f>+'9A - Gross Plant &amp; ARO'!H55</f>
        <v>0</v>
      </c>
      <c r="K15" s="824">
        <f t="shared" si="0"/>
        <v>1227570967.5899999</v>
      </c>
      <c r="L15" s="824">
        <f t="shared" si="2"/>
        <v>299300592.77999991</v>
      </c>
      <c r="M15" s="824">
        <f t="shared" si="1"/>
        <v>0</v>
      </c>
    </row>
    <row r="16" spans="1:17">
      <c r="A16" s="805">
        <v>6</v>
      </c>
      <c r="B16" s="802" t="s">
        <v>214</v>
      </c>
      <c r="C16" s="824">
        <f>+'9A - Gross Plant &amp; ARO'!L16</f>
        <v>1764154611.7900002</v>
      </c>
      <c r="D16" s="824">
        <f>+'9A - Gross Plant &amp; ARO'!M16</f>
        <v>481861148.1099999</v>
      </c>
      <c r="E16" s="824">
        <f>+'9A - Gross Plant &amp; ARO'!N16</f>
        <v>0</v>
      </c>
      <c r="F16" s="825">
        <f>+'9A - Gross Plant &amp; ARO'!D56</f>
        <v>537982092</v>
      </c>
      <c r="G16" s="825">
        <f>+'9A - Gross Plant &amp; ARO'!E56</f>
        <v>134655044.78</v>
      </c>
      <c r="H16" s="825">
        <f>+'9A - Gross Plant &amp; ARO'!G56</f>
        <v>0</v>
      </c>
      <c r="I16" s="825">
        <f>+'9A - Gross Plant &amp; ARO'!F56</f>
        <v>46270422.219999999</v>
      </c>
      <c r="J16" s="825">
        <f>+'9A - Gross Plant &amp; ARO'!H56</f>
        <v>0</v>
      </c>
      <c r="K16" s="824">
        <f t="shared" si="0"/>
        <v>1226172519.7900002</v>
      </c>
      <c r="L16" s="824">
        <f t="shared" si="2"/>
        <v>300935681.1099999</v>
      </c>
      <c r="M16" s="824">
        <f t="shared" si="1"/>
        <v>0</v>
      </c>
    </row>
    <row r="17" spans="1:15">
      <c r="A17" s="805">
        <v>7</v>
      </c>
      <c r="B17" s="802" t="s">
        <v>215</v>
      </c>
      <c r="C17" s="824">
        <f>+'9A - Gross Plant &amp; ARO'!L17</f>
        <v>1761725580.1300004</v>
      </c>
      <c r="D17" s="824">
        <f>+'9A - Gross Plant &amp; ARO'!M17</f>
        <v>486337242.01000005</v>
      </c>
      <c r="E17" s="824">
        <f>+'9A - Gross Plant &amp; ARO'!N17</f>
        <v>0</v>
      </c>
      <c r="F17" s="825">
        <f>+'9A - Gross Plant &amp; ARO'!D57</f>
        <v>541133209</v>
      </c>
      <c r="G17" s="825">
        <f>+'9A - Gross Plant &amp; ARO'!E57</f>
        <v>135791046.30000001</v>
      </c>
      <c r="H17" s="825">
        <f>+'9A - Gross Plant &amp; ARO'!G57</f>
        <v>0</v>
      </c>
      <c r="I17" s="825">
        <f>+'9A - Gross Plant &amp; ARO'!F57</f>
        <v>47679419.700000003</v>
      </c>
      <c r="J17" s="825">
        <f>+'9A - Gross Plant &amp; ARO'!H57</f>
        <v>0</v>
      </c>
      <c r="K17" s="824">
        <f t="shared" si="0"/>
        <v>1220592371.1300004</v>
      </c>
      <c r="L17" s="824">
        <f t="shared" si="2"/>
        <v>302866776.01000005</v>
      </c>
      <c r="M17" s="824">
        <f t="shared" si="1"/>
        <v>0</v>
      </c>
    </row>
    <row r="18" spans="1:15">
      <c r="A18" s="805">
        <v>8</v>
      </c>
      <c r="B18" s="802" t="s">
        <v>639</v>
      </c>
      <c r="C18" s="824">
        <f>+'9A - Gross Plant &amp; ARO'!L18</f>
        <v>1765158828.2200005</v>
      </c>
      <c r="D18" s="824">
        <f>+'9A - Gross Plant &amp; ARO'!M18</f>
        <v>488570291.30999982</v>
      </c>
      <c r="E18" s="824">
        <f>+'9A - Gross Plant &amp; ARO'!N18</f>
        <v>0</v>
      </c>
      <c r="F18" s="825">
        <f>+'9A - Gross Plant &amp; ARO'!D58</f>
        <v>544002905</v>
      </c>
      <c r="G18" s="825">
        <f>+'9A - Gross Plant &amp; ARO'!E58</f>
        <v>136699532.78</v>
      </c>
      <c r="H18" s="825">
        <f>+'9A - Gross Plant &amp; ARO'!G58</f>
        <v>0</v>
      </c>
      <c r="I18" s="825">
        <f>+'9A - Gross Plant &amp; ARO'!F58</f>
        <v>48918241.219999999</v>
      </c>
      <c r="J18" s="825">
        <f>+'9A - Gross Plant &amp; ARO'!H58</f>
        <v>0</v>
      </c>
      <c r="K18" s="824">
        <f t="shared" si="0"/>
        <v>1221155923.2200005</v>
      </c>
      <c r="L18" s="824">
        <f t="shared" si="2"/>
        <v>302952517.30999982</v>
      </c>
      <c r="M18" s="824">
        <f t="shared" si="1"/>
        <v>0</v>
      </c>
    </row>
    <row r="19" spans="1:15">
      <c r="A19" s="805">
        <v>9</v>
      </c>
      <c r="B19" s="802" t="s">
        <v>640</v>
      </c>
      <c r="C19" s="824">
        <f>+'9A - Gross Plant &amp; ARO'!L19</f>
        <v>1766925469.5400004</v>
      </c>
      <c r="D19" s="824">
        <f>+'9A - Gross Plant &amp; ARO'!M19</f>
        <v>489131820.73999995</v>
      </c>
      <c r="E19" s="824">
        <f>+'9A - Gross Plant &amp; ARO'!N19</f>
        <v>0</v>
      </c>
      <c r="F19" s="825">
        <f>+'9A - Gross Plant &amp; ARO'!D59</f>
        <v>547990437</v>
      </c>
      <c r="G19" s="825">
        <f>+'9A - Gross Plant &amp; ARO'!E59</f>
        <v>137505351.30000001</v>
      </c>
      <c r="H19" s="825">
        <f>+'9A - Gross Plant &amp; ARO'!G59</f>
        <v>0</v>
      </c>
      <c r="I19" s="825">
        <f>+'9A - Gross Plant &amp; ARO'!F59</f>
        <v>50303522.700000003</v>
      </c>
      <c r="J19" s="825">
        <f>+'9A - Gross Plant &amp; ARO'!H59</f>
        <v>0</v>
      </c>
      <c r="K19" s="824">
        <f t="shared" si="0"/>
        <v>1218935032.5400004</v>
      </c>
      <c r="L19" s="824">
        <f t="shared" si="2"/>
        <v>301322946.73999995</v>
      </c>
      <c r="M19" s="824">
        <f t="shared" si="1"/>
        <v>0</v>
      </c>
    </row>
    <row r="20" spans="1:15">
      <c r="A20" s="805">
        <v>10</v>
      </c>
      <c r="B20" s="802" t="s">
        <v>641</v>
      </c>
      <c r="C20" s="824">
        <f>+'9A - Gross Plant &amp; ARO'!L20</f>
        <v>1764231649.6199999</v>
      </c>
      <c r="D20" s="824">
        <f>+'9A - Gross Plant &amp; ARO'!M20</f>
        <v>493549813.52999991</v>
      </c>
      <c r="E20" s="824">
        <f>+'9A - Gross Plant &amp; ARO'!N20</f>
        <v>0</v>
      </c>
      <c r="F20" s="825">
        <f>+'9A - Gross Plant &amp; ARO'!D60</f>
        <v>550297814</v>
      </c>
      <c r="G20" s="825">
        <f>+'9A - Gross Plant &amp; ARO'!E60</f>
        <v>138493548.05000001</v>
      </c>
      <c r="H20" s="825">
        <f>+'9A - Gross Plant &amp; ARO'!G60</f>
        <v>0</v>
      </c>
      <c r="I20" s="825">
        <f>+'9A - Gross Plant &amp; ARO'!F60</f>
        <v>51735071.219999999</v>
      </c>
      <c r="J20" s="825">
        <f>+'9A - Gross Plant &amp; ARO'!H60</f>
        <v>0</v>
      </c>
      <c r="K20" s="824">
        <f t="shared" si="0"/>
        <v>1213933835.6199999</v>
      </c>
      <c r="L20" s="824">
        <f t="shared" si="2"/>
        <v>303321194.25999987</v>
      </c>
      <c r="M20" s="824">
        <f t="shared" si="1"/>
        <v>0</v>
      </c>
    </row>
    <row r="21" spans="1:15">
      <c r="A21" s="805">
        <v>11</v>
      </c>
      <c r="B21" s="802" t="s">
        <v>642</v>
      </c>
      <c r="C21" s="824">
        <f>+'9A - Gross Plant &amp; ARO'!L21</f>
        <v>1769553161.3699999</v>
      </c>
      <c r="D21" s="824">
        <f>+'9A - Gross Plant &amp; ARO'!M21</f>
        <v>509831175.04999995</v>
      </c>
      <c r="E21" s="824">
        <f>+'9A - Gross Plant &amp; ARO'!N21</f>
        <v>0</v>
      </c>
      <c r="F21" s="825">
        <f>+'9A - Gross Plant &amp; ARO'!D61</f>
        <v>554542563</v>
      </c>
      <c r="G21" s="825">
        <f>+'9A - Gross Plant &amp; ARO'!E61</f>
        <v>139978490.99000001</v>
      </c>
      <c r="H21" s="825">
        <f>+'9A - Gross Plant &amp; ARO'!G61</f>
        <v>0</v>
      </c>
      <c r="I21" s="825">
        <f>+'9A - Gross Plant &amp; ARO'!F61</f>
        <v>53286184.700000003</v>
      </c>
      <c r="J21" s="825">
        <f>+'9A - Gross Plant &amp; ARO'!H61</f>
        <v>0</v>
      </c>
      <c r="K21" s="824">
        <f t="shared" si="0"/>
        <v>1215010598.3699999</v>
      </c>
      <c r="L21" s="824">
        <f t="shared" si="2"/>
        <v>316566499.35999995</v>
      </c>
      <c r="M21" s="824">
        <f t="shared" si="1"/>
        <v>0</v>
      </c>
    </row>
    <row r="22" spans="1:15">
      <c r="A22" s="805">
        <v>12</v>
      </c>
      <c r="B22" s="802" t="s">
        <v>643</v>
      </c>
      <c r="C22" s="824">
        <f>+'9A - Gross Plant &amp; ARO'!L22</f>
        <v>1770977753.5300002</v>
      </c>
      <c r="D22" s="824">
        <f>+'9A - Gross Plant &amp; ARO'!M22</f>
        <v>514652344.81999987</v>
      </c>
      <c r="E22" s="824">
        <f>+'9A - Gross Plant &amp; ARO'!N22</f>
        <v>0</v>
      </c>
      <c r="F22" s="825">
        <f>+'9A - Gross Plant &amp; ARO'!D62</f>
        <v>555038644</v>
      </c>
      <c r="G22" s="825">
        <f>+'9A - Gross Plant &amp; ARO'!E62</f>
        <v>140595491.89000002</v>
      </c>
      <c r="H22" s="825">
        <f>+'9A - Gross Plant &amp; ARO'!G62</f>
        <v>0</v>
      </c>
      <c r="I22" s="825">
        <f>+'9A - Gross Plant &amp; ARO'!F62</f>
        <v>54952700.219999999</v>
      </c>
      <c r="J22" s="825">
        <f>+'9A - Gross Plant &amp; ARO'!H62</f>
        <v>0</v>
      </c>
      <c r="K22" s="824">
        <f t="shared" si="0"/>
        <v>1215939109.5300002</v>
      </c>
      <c r="L22" s="824">
        <f t="shared" si="2"/>
        <v>319104152.7099998</v>
      </c>
      <c r="M22" s="824">
        <f t="shared" si="1"/>
        <v>0</v>
      </c>
    </row>
    <row r="23" spans="1:15">
      <c r="A23" s="805">
        <v>13</v>
      </c>
      <c r="B23" s="802" t="s">
        <v>644</v>
      </c>
      <c r="C23" s="824">
        <f>+'9A - Gross Plant &amp; ARO'!L23</f>
        <v>1770704957</v>
      </c>
      <c r="D23" s="824">
        <f>+'9A - Gross Plant &amp; ARO'!M23</f>
        <v>538166786.67999995</v>
      </c>
      <c r="E23" s="824">
        <f>+'9A - Gross Plant &amp; ARO'!N23</f>
        <v>0</v>
      </c>
      <c r="F23" s="825">
        <f>+'9A - Gross Plant &amp; ARO'!D63</f>
        <v>557309701</v>
      </c>
      <c r="G23" s="825">
        <f>+'9A - Gross Plant &amp; ARO'!E63</f>
        <v>140232737.53</v>
      </c>
      <c r="H23" s="825">
        <f>+'9A - Gross Plant &amp; ARO'!G63</f>
        <v>0</v>
      </c>
      <c r="I23" s="825">
        <f>+'9A - Gross Plant &amp; ARO'!F63</f>
        <v>56749747</v>
      </c>
      <c r="J23" s="825">
        <f>+'9A - Gross Plant &amp; ARO'!H63</f>
        <v>0</v>
      </c>
      <c r="K23" s="824">
        <f t="shared" si="0"/>
        <v>1213395256</v>
      </c>
      <c r="L23" s="824">
        <f t="shared" si="2"/>
        <v>341184302.14999998</v>
      </c>
      <c r="M23" s="824">
        <f t="shared" si="1"/>
        <v>0</v>
      </c>
    </row>
    <row r="24" spans="1:15">
      <c r="A24" s="805">
        <v>14</v>
      </c>
      <c r="B24" s="834" t="s">
        <v>889</v>
      </c>
      <c r="C24" s="1069">
        <f t="shared" ref="C24:M24" si="3">SUM(C11:C23)/13</f>
        <v>1759323170.5161541</v>
      </c>
      <c r="D24" s="1069">
        <f t="shared" si="3"/>
        <v>489447022.11355549</v>
      </c>
      <c r="E24" s="1069">
        <f t="shared" si="3"/>
        <v>0</v>
      </c>
      <c r="F24" s="1069">
        <f t="shared" si="3"/>
        <v>542544783.30769229</v>
      </c>
      <c r="G24" s="1069">
        <f t="shared" si="3"/>
        <v>135464708.36769229</v>
      </c>
      <c r="H24" s="1069">
        <f t="shared" si="3"/>
        <v>0</v>
      </c>
      <c r="I24" s="1069">
        <f t="shared" si="3"/>
        <v>47804551.857692309</v>
      </c>
      <c r="J24" s="1069">
        <f t="shared" si="3"/>
        <v>0</v>
      </c>
      <c r="K24" s="1069">
        <f t="shared" si="3"/>
        <v>1216778387.2084615</v>
      </c>
      <c r="L24" s="1069">
        <f t="shared" si="3"/>
        <v>306177761.88817078</v>
      </c>
      <c r="M24" s="1069">
        <f t="shared" si="3"/>
        <v>0</v>
      </c>
    </row>
    <row r="25" spans="1:15" ht="12" customHeight="1">
      <c r="A25" s="805">
        <v>15</v>
      </c>
      <c r="B25" s="834" t="s">
        <v>888</v>
      </c>
      <c r="C25" s="838"/>
      <c r="D25" s="838">
        <f>+'10 - Merger Costs'!G34</f>
        <v>2115776</v>
      </c>
      <c r="E25" s="838"/>
      <c r="F25" s="838"/>
      <c r="G25" s="838">
        <f>+'10 - Merger Costs'!C51</f>
        <v>78068.196784166648</v>
      </c>
      <c r="H25" s="838"/>
      <c r="I25" s="838">
        <f>+'10 - Merger Costs'!D51</f>
        <v>930299.60769230756</v>
      </c>
      <c r="J25" s="838"/>
      <c r="K25" s="838">
        <f>+C25-F25</f>
        <v>0</v>
      </c>
      <c r="L25" s="838">
        <f>+D25-G25-I25</f>
        <v>1107408.1955235258</v>
      </c>
      <c r="M25" s="838">
        <f>+E25-J25-H25</f>
        <v>0</v>
      </c>
    </row>
    <row r="26" spans="1:15" ht="13.5" thickBot="1">
      <c r="A26" s="805">
        <v>16</v>
      </c>
      <c r="B26" s="834" t="s">
        <v>885</v>
      </c>
      <c r="C26" s="826">
        <f>+C24-C25</f>
        <v>1759323170.5161541</v>
      </c>
      <c r="D26" s="826">
        <f t="shared" ref="D26:M26" si="4">+D24-D25</f>
        <v>487331246.11355549</v>
      </c>
      <c r="E26" s="826">
        <f t="shared" si="4"/>
        <v>0</v>
      </c>
      <c r="F26" s="826">
        <f t="shared" si="4"/>
        <v>542544783.30769229</v>
      </c>
      <c r="G26" s="826">
        <f t="shared" si="4"/>
        <v>135386640.17090812</v>
      </c>
      <c r="H26" s="826">
        <f t="shared" si="4"/>
        <v>0</v>
      </c>
      <c r="I26" s="826">
        <f t="shared" si="4"/>
        <v>46874252.25</v>
      </c>
      <c r="J26" s="826">
        <f t="shared" si="4"/>
        <v>0</v>
      </c>
      <c r="K26" s="826">
        <f t="shared" si="4"/>
        <v>1216778387.2084615</v>
      </c>
      <c r="L26" s="826">
        <f t="shared" si="4"/>
        <v>305070353.69264728</v>
      </c>
      <c r="M26" s="826">
        <f t="shared" si="4"/>
        <v>0</v>
      </c>
    </row>
    <row r="27" spans="1:15" ht="13.5" thickTop="1">
      <c r="A27" s="805"/>
      <c r="B27" s="802"/>
      <c r="C27" s="827"/>
      <c r="D27" s="828"/>
      <c r="E27" s="828"/>
      <c r="F27" s="828"/>
      <c r="G27" s="827"/>
      <c r="H27" s="827"/>
      <c r="I27" s="827"/>
      <c r="J27" s="827"/>
    </row>
    <row r="28" spans="1:15">
      <c r="A28" s="805"/>
      <c r="B28" s="829"/>
      <c r="C28" s="2033" t="s">
        <v>646</v>
      </c>
      <c r="D28" s="2033"/>
      <c r="E28" s="2033"/>
      <c r="F28" s="2033"/>
      <c r="G28" s="2033"/>
      <c r="H28" s="2033"/>
      <c r="I28" s="2033"/>
      <c r="J28" s="2033"/>
    </row>
    <row r="29" spans="1:15" ht="72" customHeight="1">
      <c r="A29" s="805" t="s">
        <v>613</v>
      </c>
      <c r="B29" s="810" t="s">
        <v>211</v>
      </c>
      <c r="C29" s="810" t="s">
        <v>612</v>
      </c>
      <c r="D29" s="810" t="s">
        <v>683</v>
      </c>
      <c r="E29" s="809"/>
      <c r="F29" s="812" t="s">
        <v>679</v>
      </c>
      <c r="G29" s="810"/>
      <c r="H29" s="815" t="s">
        <v>647</v>
      </c>
      <c r="I29" s="815" t="s">
        <v>648</v>
      </c>
      <c r="J29" s="815" t="s">
        <v>649</v>
      </c>
      <c r="K29" s="815" t="s">
        <v>650</v>
      </c>
      <c r="L29" s="815" t="s">
        <v>651</v>
      </c>
      <c r="M29" s="815" t="s">
        <v>907</v>
      </c>
    </row>
    <row r="30" spans="1:15" s="816" customFormat="1">
      <c r="A30" s="805"/>
      <c r="B30" s="810" t="s">
        <v>619</v>
      </c>
      <c r="C30" s="812" t="s">
        <v>615</v>
      </c>
      <c r="D30" s="812" t="s">
        <v>616</v>
      </c>
      <c r="E30" s="812" t="s">
        <v>617</v>
      </c>
      <c r="F30" s="812" t="s">
        <v>680</v>
      </c>
      <c r="G30" s="812" t="s">
        <v>618</v>
      </c>
      <c r="H30" s="815"/>
      <c r="I30" s="815"/>
      <c r="J30" s="830"/>
      <c r="K30" s="830"/>
      <c r="L30" s="830"/>
      <c r="M30" s="830"/>
      <c r="N30" s="801"/>
      <c r="O30" s="801"/>
    </row>
    <row r="31" spans="1:15" s="816" customFormat="1">
      <c r="C31" s="810" t="s">
        <v>620</v>
      </c>
      <c r="D31" s="810" t="s">
        <v>621</v>
      </c>
      <c r="E31" s="812" t="s">
        <v>622</v>
      </c>
      <c r="F31" s="810" t="s">
        <v>623</v>
      </c>
      <c r="G31" s="812" t="s">
        <v>624</v>
      </c>
      <c r="H31" s="810" t="s">
        <v>625</v>
      </c>
      <c r="I31" s="812" t="s">
        <v>626</v>
      </c>
      <c r="J31" s="810" t="s">
        <v>627</v>
      </c>
      <c r="K31" s="810" t="s">
        <v>628</v>
      </c>
      <c r="L31" s="812" t="s">
        <v>629</v>
      </c>
      <c r="M31" s="1074" t="s">
        <v>663</v>
      </c>
      <c r="N31" s="801"/>
      <c r="O31" s="801"/>
    </row>
    <row r="32" spans="1:15" s="816" customFormat="1">
      <c r="A32" s="805"/>
      <c r="B32" s="817" t="s">
        <v>682</v>
      </c>
      <c r="C32" s="819" t="s">
        <v>422</v>
      </c>
      <c r="D32" s="819">
        <v>28</v>
      </c>
      <c r="E32" s="819">
        <v>50</v>
      </c>
      <c r="F32" s="819">
        <v>47</v>
      </c>
      <c r="G32" s="819">
        <v>45</v>
      </c>
      <c r="H32" s="831"/>
      <c r="I32" s="831" t="s">
        <v>425</v>
      </c>
      <c r="J32" s="831"/>
      <c r="K32" s="831"/>
      <c r="L32" s="831"/>
      <c r="M32" s="831"/>
      <c r="N32" s="801"/>
      <c r="O32" s="801"/>
    </row>
    <row r="33" spans="1:16" s="816" customFormat="1" ht="51" customHeight="1">
      <c r="A33" s="805"/>
      <c r="B33" s="810"/>
      <c r="C33" s="822" t="s">
        <v>82</v>
      </c>
      <c r="D33" s="821" t="s">
        <v>1113</v>
      </c>
      <c r="E33" s="1543" t="s">
        <v>1569</v>
      </c>
      <c r="F33" s="821" t="s">
        <v>681</v>
      </c>
      <c r="G33" s="812" t="s">
        <v>986</v>
      </c>
      <c r="H33" s="812"/>
      <c r="I33" s="815" t="s">
        <v>652</v>
      </c>
      <c r="J33" s="815" t="s">
        <v>418</v>
      </c>
      <c r="K33" s="815" t="s">
        <v>418</v>
      </c>
      <c r="L33" s="815" t="s">
        <v>418</v>
      </c>
      <c r="M33" s="815" t="s">
        <v>418</v>
      </c>
      <c r="N33" s="801"/>
      <c r="O33" s="801"/>
    </row>
    <row r="34" spans="1:16">
      <c r="A34" s="805">
        <v>17</v>
      </c>
      <c r="B34" s="823" t="s">
        <v>635</v>
      </c>
      <c r="C34" s="824">
        <v>0</v>
      </c>
      <c r="D34" s="824">
        <v>0</v>
      </c>
      <c r="E34" s="824">
        <v>12199384.373832012</v>
      </c>
      <c r="F34" s="824">
        <v>0</v>
      </c>
      <c r="G34" s="824">
        <f>+'5 - Cost Support 1'!G109</f>
        <v>32689712.978142355</v>
      </c>
      <c r="H34" s="824">
        <v>0</v>
      </c>
      <c r="I34" s="824">
        <v>597293.22</v>
      </c>
      <c r="J34" s="833"/>
      <c r="K34" s="833"/>
      <c r="L34" s="833"/>
      <c r="M34" s="833"/>
    </row>
    <row r="35" spans="1:16">
      <c r="A35" s="805">
        <v>18</v>
      </c>
      <c r="B35" s="823" t="s">
        <v>636</v>
      </c>
      <c r="C35" s="824">
        <v>0</v>
      </c>
      <c r="D35" s="824">
        <v>0</v>
      </c>
      <c r="E35" s="824">
        <v>12186147.937985856</v>
      </c>
      <c r="F35" s="868"/>
      <c r="G35" s="824">
        <f>+'5 - Cost Support 1'!H109</f>
        <v>37505950.858835459</v>
      </c>
      <c r="H35" s="868">
        <f t="shared" ref="H35:H45" si="5">H34+(H$46-H$34)/12</f>
        <v>0</v>
      </c>
      <c r="I35" s="824">
        <v>587018.67999999993</v>
      </c>
      <c r="J35" s="833"/>
      <c r="K35" s="833"/>
      <c r="L35" s="833"/>
      <c r="M35" s="833"/>
    </row>
    <row r="36" spans="1:16">
      <c r="A36" s="805">
        <v>19</v>
      </c>
      <c r="B36" s="802" t="s">
        <v>637</v>
      </c>
      <c r="C36" s="824">
        <v>0</v>
      </c>
      <c r="D36" s="824">
        <v>0</v>
      </c>
      <c r="E36" s="824">
        <v>12108775.602396902</v>
      </c>
      <c r="F36" s="868"/>
      <c r="G36" s="824">
        <f>+'5 - Cost Support 1'!I109</f>
        <v>36441231.706241861</v>
      </c>
      <c r="H36" s="868">
        <f t="shared" si="5"/>
        <v>0</v>
      </c>
      <c r="I36" s="824">
        <v>576744.1399999999</v>
      </c>
      <c r="J36" s="833"/>
      <c r="K36" s="833"/>
      <c r="L36" s="833"/>
      <c r="M36" s="833"/>
    </row>
    <row r="37" spans="1:16">
      <c r="A37" s="805">
        <v>20</v>
      </c>
      <c r="B37" s="802" t="s">
        <v>638</v>
      </c>
      <c r="C37" s="824">
        <v>0</v>
      </c>
      <c r="D37" s="824">
        <v>0</v>
      </c>
      <c r="E37" s="824">
        <v>11923383.879373863</v>
      </c>
      <c r="F37" s="868"/>
      <c r="G37" s="824">
        <f>+'5 - Cost Support 1'!J109</f>
        <v>35247890.318187647</v>
      </c>
      <c r="H37" s="868">
        <f t="shared" si="5"/>
        <v>0</v>
      </c>
      <c r="I37" s="824">
        <v>566469.59999999986</v>
      </c>
      <c r="J37" s="833"/>
      <c r="K37" s="833"/>
      <c r="L37" s="833"/>
      <c r="M37" s="833"/>
    </row>
    <row r="38" spans="1:16">
      <c r="A38" s="805">
        <v>21</v>
      </c>
      <c r="B38" s="802" t="s">
        <v>213</v>
      </c>
      <c r="C38" s="824">
        <v>0</v>
      </c>
      <c r="D38" s="824">
        <v>0</v>
      </c>
      <c r="E38" s="824">
        <v>11687829.801434942</v>
      </c>
      <c r="F38" s="868"/>
      <c r="G38" s="824">
        <f>+'5 - Cost Support 1'!K109</f>
        <v>34149638.383355767</v>
      </c>
      <c r="H38" s="868">
        <f t="shared" si="5"/>
        <v>0</v>
      </c>
      <c r="I38" s="824">
        <v>556195.05999999982</v>
      </c>
      <c r="J38" s="833"/>
      <c r="K38" s="833"/>
      <c r="L38" s="833"/>
      <c r="M38" s="833"/>
    </row>
    <row r="39" spans="1:16">
      <c r="A39" s="805">
        <v>22</v>
      </c>
      <c r="B39" s="802" t="s">
        <v>214</v>
      </c>
      <c r="C39" s="824">
        <v>0</v>
      </c>
      <c r="D39" s="824">
        <v>0</v>
      </c>
      <c r="E39" s="824">
        <v>11462027.38209757</v>
      </c>
      <c r="F39" s="868"/>
      <c r="G39" s="824">
        <f>+'5 - Cost Support 1'!L109</f>
        <v>32973555.159513168</v>
      </c>
      <c r="H39" s="868">
        <f t="shared" si="5"/>
        <v>0</v>
      </c>
      <c r="I39" s="824">
        <v>545920.51999999979</v>
      </c>
      <c r="J39" s="833"/>
      <c r="K39" s="833"/>
      <c r="L39" s="833"/>
      <c r="M39" s="833"/>
    </row>
    <row r="40" spans="1:16">
      <c r="A40" s="805">
        <v>23</v>
      </c>
      <c r="B40" s="802" t="s">
        <v>215</v>
      </c>
      <c r="C40" s="824">
        <v>0</v>
      </c>
      <c r="D40" s="824">
        <v>0</v>
      </c>
      <c r="E40" s="824">
        <v>11837069.567958254</v>
      </c>
      <c r="F40" s="868"/>
      <c r="G40" s="824">
        <f>+'5 - Cost Support 1'!M109</f>
        <v>31854936.430230416</v>
      </c>
      <c r="H40" s="868">
        <f t="shared" si="5"/>
        <v>0</v>
      </c>
      <c r="I40" s="824">
        <v>535645.97999999975</v>
      </c>
      <c r="J40" s="833"/>
      <c r="K40" s="833"/>
      <c r="L40" s="833"/>
      <c r="M40" s="833"/>
    </row>
    <row r="41" spans="1:16">
      <c r="A41" s="805">
        <v>24</v>
      </c>
      <c r="B41" s="802" t="s">
        <v>639</v>
      </c>
      <c r="C41" s="824">
        <v>0</v>
      </c>
      <c r="D41" s="824">
        <v>0</v>
      </c>
      <c r="E41" s="824">
        <v>11911953.454286411</v>
      </c>
      <c r="F41" s="868"/>
      <c r="G41" s="824">
        <f>+'5 - Cost Support 1'!N109</f>
        <v>30704833.087233547</v>
      </c>
      <c r="H41" s="868">
        <f t="shared" si="5"/>
        <v>0</v>
      </c>
      <c r="I41" s="824">
        <v>525371.43999999971</v>
      </c>
      <c r="J41" s="833"/>
      <c r="K41" s="833"/>
      <c r="L41" s="833"/>
      <c r="M41" s="833"/>
    </row>
    <row r="42" spans="1:16">
      <c r="A42" s="805">
        <v>25</v>
      </c>
      <c r="B42" s="802" t="s">
        <v>640</v>
      </c>
      <c r="C42" s="824">
        <v>0</v>
      </c>
      <c r="D42" s="824">
        <v>0</v>
      </c>
      <c r="E42" s="824">
        <v>11865525.381989216</v>
      </c>
      <c r="F42" s="868"/>
      <c r="G42" s="824">
        <f>+'5 - Cost Support 1'!O109</f>
        <v>29487238.623219647</v>
      </c>
      <c r="H42" s="868">
        <f t="shared" si="5"/>
        <v>0</v>
      </c>
      <c r="I42" s="824">
        <v>515096.89999999973</v>
      </c>
      <c r="J42" s="833"/>
      <c r="K42" s="833"/>
      <c r="L42" s="833"/>
      <c r="M42" s="833"/>
    </row>
    <row r="43" spans="1:16">
      <c r="A43" s="805">
        <v>26</v>
      </c>
      <c r="B43" s="802" t="s">
        <v>641</v>
      </c>
      <c r="C43" s="824">
        <v>0</v>
      </c>
      <c r="D43" s="824">
        <v>0</v>
      </c>
      <c r="E43" s="824">
        <v>11882535.790786158</v>
      </c>
      <c r="F43" s="868"/>
      <c r="G43" s="824">
        <f>+'5 - Cost Support 1'!P109</f>
        <v>31664910.883577067</v>
      </c>
      <c r="H43" s="868">
        <f t="shared" si="5"/>
        <v>0</v>
      </c>
      <c r="I43" s="824">
        <v>504822.35999999975</v>
      </c>
      <c r="J43" s="833"/>
      <c r="K43" s="833"/>
      <c r="L43" s="833"/>
      <c r="M43" s="833"/>
    </row>
    <row r="44" spans="1:16">
      <c r="A44" s="805">
        <v>27</v>
      </c>
      <c r="B44" s="802" t="s">
        <v>642</v>
      </c>
      <c r="C44" s="824">
        <v>0</v>
      </c>
      <c r="D44" s="824">
        <v>0</v>
      </c>
      <c r="E44" s="824">
        <v>12022064.415010275</v>
      </c>
      <c r="F44" s="868"/>
      <c r="G44" s="824">
        <f>+'5 - Cost Support 1'!Q109</f>
        <v>30520661.057547294</v>
      </c>
      <c r="H44" s="868">
        <f t="shared" si="5"/>
        <v>0</v>
      </c>
      <c r="I44" s="824">
        <v>494547.81999999977</v>
      </c>
      <c r="J44" s="833"/>
      <c r="K44" s="833"/>
      <c r="L44" s="833"/>
      <c r="M44" s="833"/>
    </row>
    <row r="45" spans="1:16">
      <c r="A45" s="805">
        <v>28</v>
      </c>
      <c r="B45" s="802" t="s">
        <v>643</v>
      </c>
      <c r="C45" s="824">
        <v>0</v>
      </c>
      <c r="D45" s="824">
        <v>0</v>
      </c>
      <c r="E45" s="824">
        <v>11976976.98870388</v>
      </c>
      <c r="F45" s="868"/>
      <c r="G45" s="824">
        <f>+'5 - Cost Support 1'!R109</f>
        <v>29300413.147250265</v>
      </c>
      <c r="H45" s="868">
        <f t="shared" si="5"/>
        <v>0</v>
      </c>
      <c r="I45" s="824">
        <v>484273.2799999998</v>
      </c>
      <c r="J45" s="833"/>
      <c r="K45" s="833"/>
      <c r="L45" s="833"/>
      <c r="M45" s="833"/>
    </row>
    <row r="46" spans="1:16">
      <c r="A46" s="805">
        <v>29</v>
      </c>
      <c r="B46" s="802" t="s">
        <v>644</v>
      </c>
      <c r="C46" s="824">
        <v>0</v>
      </c>
      <c r="D46" s="824">
        <v>0</v>
      </c>
      <c r="E46" s="824">
        <v>12125489.001113174</v>
      </c>
      <c r="F46" s="824"/>
      <c r="G46" s="824">
        <f>+'5 - Cost Support 1'!S109</f>
        <v>31212417.471245095</v>
      </c>
      <c r="H46" s="824">
        <v>0</v>
      </c>
      <c r="I46" s="824">
        <v>473998.73999999982</v>
      </c>
      <c r="J46" s="833"/>
      <c r="K46" s="833"/>
      <c r="L46" s="833"/>
      <c r="M46" s="833"/>
    </row>
    <row r="47" spans="1:16" ht="13.5" thickBot="1">
      <c r="A47" s="805">
        <v>30</v>
      </c>
      <c r="B47" s="834" t="s">
        <v>884</v>
      </c>
      <c r="C47" s="826">
        <f>SUM(C34:C46)/13</f>
        <v>0</v>
      </c>
      <c r="D47" s="826">
        <f t="shared" ref="D47:I47" si="6">SUM(D34:D46)/13</f>
        <v>0</v>
      </c>
      <c r="E47" s="826">
        <f t="shared" si="6"/>
        <v>11937627.967459116</v>
      </c>
      <c r="F47" s="826">
        <f t="shared" si="6"/>
        <v>0</v>
      </c>
      <c r="G47" s="826">
        <f t="shared" si="6"/>
        <v>32596414.623429202</v>
      </c>
      <c r="H47" s="826">
        <f t="shared" si="6"/>
        <v>0</v>
      </c>
      <c r="I47" s="826">
        <f t="shared" si="6"/>
        <v>535645.97999999975</v>
      </c>
      <c r="J47" s="826"/>
      <c r="K47" s="826"/>
      <c r="L47" s="835"/>
      <c r="M47" s="826"/>
      <c r="P47" s="816"/>
    </row>
    <row r="48" spans="1:16" ht="15.75" thickTop="1">
      <c r="A48" s="805"/>
      <c r="B48" s="802"/>
      <c r="E48"/>
      <c r="F48"/>
      <c r="G48"/>
      <c r="H48"/>
      <c r="I48" s="828"/>
      <c r="K48" s="807"/>
      <c r="P48" s="816"/>
    </row>
    <row r="49" spans="1:18">
      <c r="A49" s="805"/>
      <c r="K49" s="832"/>
      <c r="P49" s="816"/>
    </row>
    <row r="50" spans="1:18">
      <c r="A50" s="840"/>
      <c r="B50" s="841"/>
      <c r="C50" s="842"/>
      <c r="D50" s="842"/>
      <c r="E50" s="842"/>
      <c r="F50" s="842"/>
      <c r="G50" s="842"/>
      <c r="M50" s="816"/>
      <c r="N50" s="816"/>
      <c r="O50" s="816"/>
      <c r="P50" s="816"/>
      <c r="Q50" s="816"/>
      <c r="R50" s="816"/>
    </row>
    <row r="51" spans="1:18">
      <c r="A51" s="840"/>
      <c r="B51" s="841"/>
      <c r="C51" s="842"/>
      <c r="D51" s="842"/>
      <c r="E51" s="842"/>
      <c r="F51" s="842"/>
      <c r="G51" s="842"/>
      <c r="M51" s="816"/>
      <c r="N51" s="816"/>
      <c r="O51" s="816"/>
      <c r="P51" s="816"/>
      <c r="Q51" s="816"/>
      <c r="R51" s="816"/>
    </row>
    <row r="52" spans="1:18">
      <c r="A52" s="805" t="s">
        <v>653</v>
      </c>
    </row>
    <row r="53" spans="1:18" ht="12.75" customHeight="1">
      <c r="A53" s="805" t="s">
        <v>9</v>
      </c>
      <c r="B53" s="2034" t="s">
        <v>1402</v>
      </c>
      <c r="C53" s="2034"/>
      <c r="D53" s="2034"/>
      <c r="E53" s="2034"/>
      <c r="F53" s="2034"/>
      <c r="G53" s="2034"/>
      <c r="H53" s="2034"/>
      <c r="I53" s="2034"/>
      <c r="J53" s="2034"/>
      <c r="K53" s="2034"/>
      <c r="L53" s="2034"/>
    </row>
    <row r="54" spans="1:18" ht="12.75" customHeight="1">
      <c r="A54" s="805" t="s">
        <v>10</v>
      </c>
      <c r="B54" s="2035" t="s">
        <v>654</v>
      </c>
      <c r="C54" s="2035"/>
      <c r="D54" s="2035"/>
      <c r="E54" s="2035"/>
      <c r="F54" s="2035"/>
      <c r="G54" s="2035"/>
      <c r="H54" s="2035"/>
      <c r="I54" s="2035"/>
      <c r="J54" s="2035"/>
      <c r="K54" s="2035"/>
      <c r="L54" s="2035"/>
      <c r="M54" s="807"/>
    </row>
    <row r="55" spans="1:18" ht="12.75" customHeight="1">
      <c r="A55" s="805" t="s">
        <v>11</v>
      </c>
      <c r="B55" s="801" t="s">
        <v>655</v>
      </c>
      <c r="C55" s="843"/>
      <c r="D55" s="843"/>
      <c r="E55" s="843"/>
      <c r="F55" s="843"/>
      <c r="G55" s="843"/>
      <c r="H55" s="843"/>
      <c r="I55" s="843"/>
      <c r="J55" s="843"/>
      <c r="K55" s="843"/>
      <c r="L55" s="843"/>
    </row>
    <row r="56" spans="1:18">
      <c r="A56" s="805"/>
      <c r="B56" s="844" t="s">
        <v>656</v>
      </c>
      <c r="C56" s="845"/>
      <c r="D56" s="845"/>
      <c r="E56" s="845"/>
      <c r="F56" s="845"/>
      <c r="G56" s="845"/>
      <c r="H56" s="845"/>
      <c r="I56" s="853"/>
      <c r="J56" s="845"/>
      <c r="K56" s="845"/>
      <c r="L56" s="845"/>
    </row>
    <row r="57" spans="1:18">
      <c r="A57" s="805"/>
      <c r="B57" s="844" t="s">
        <v>657</v>
      </c>
      <c r="C57" s="845"/>
      <c r="D57" s="845"/>
      <c r="E57" s="845"/>
      <c r="F57" s="845"/>
      <c r="G57" s="845"/>
      <c r="H57" s="845"/>
      <c r="I57" s="853"/>
      <c r="J57" s="845"/>
      <c r="K57" s="845"/>
      <c r="L57" s="845"/>
    </row>
    <row r="58" spans="1:18" ht="12.75" customHeight="1">
      <c r="A58" s="805" t="s">
        <v>14</v>
      </c>
      <c r="B58" s="801" t="s">
        <v>985</v>
      </c>
    </row>
    <row r="59" spans="1:18" ht="24" customHeight="1">
      <c r="A59" s="846" t="s">
        <v>166</v>
      </c>
      <c r="B59" s="2026" t="s">
        <v>658</v>
      </c>
      <c r="C59" s="2026"/>
      <c r="D59" s="2026"/>
      <c r="E59" s="2026"/>
      <c r="F59" s="2026"/>
      <c r="G59" s="2026"/>
      <c r="H59" s="2026"/>
      <c r="I59" s="2026"/>
      <c r="J59" s="2026"/>
      <c r="K59" s="2026"/>
      <c r="L59" s="847"/>
    </row>
    <row r="60" spans="1:18" ht="12.75" customHeight="1">
      <c r="A60" s="805" t="s">
        <v>169</v>
      </c>
      <c r="B60" s="2027" t="s">
        <v>659</v>
      </c>
      <c r="C60" s="2027"/>
      <c r="D60" s="2027"/>
      <c r="E60" s="2027"/>
      <c r="F60" s="2027"/>
      <c r="G60" s="2027"/>
      <c r="H60" s="2027"/>
      <c r="I60" s="2027"/>
      <c r="J60" s="2027"/>
      <c r="K60" s="2027"/>
      <c r="L60" s="2027"/>
    </row>
    <row r="61" spans="1:18" ht="43.5" customHeight="1">
      <c r="A61" s="846" t="s">
        <v>171</v>
      </c>
      <c r="B61" s="2026" t="s">
        <v>1087</v>
      </c>
      <c r="C61" s="2026"/>
      <c r="D61" s="2026"/>
      <c r="E61" s="2026"/>
      <c r="F61" s="2026"/>
      <c r="G61" s="2026"/>
      <c r="H61" s="2026"/>
      <c r="I61" s="2026"/>
      <c r="J61" s="2026"/>
      <c r="K61" s="2026"/>
      <c r="L61" s="847"/>
    </row>
    <row r="62" spans="1:18">
      <c r="A62" s="805" t="s">
        <v>660</v>
      </c>
      <c r="B62" s="848" t="s">
        <v>661</v>
      </c>
    </row>
    <row r="63" spans="1:18">
      <c r="A63" s="805" t="s">
        <v>579</v>
      </c>
      <c r="B63" s="801" t="s">
        <v>662</v>
      </c>
    </row>
    <row r="64" spans="1:18">
      <c r="A64" s="805" t="s">
        <v>580</v>
      </c>
      <c r="B64" s="801" t="s">
        <v>1140</v>
      </c>
    </row>
    <row r="65" spans="1:2">
      <c r="A65" s="1338" t="s">
        <v>581</v>
      </c>
      <c r="B65" s="1339" t="s">
        <v>1403</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topLeftCell="A85" zoomScale="42" zoomScaleNormal="42" zoomScaleSheetLayoutView="70" workbookViewId="0">
      <selection activeCell="J164" sqref="J164"/>
    </sheetView>
  </sheetViews>
  <sheetFormatPr defaultColWidth="11.42578125" defaultRowHeight="12.75"/>
  <cols>
    <col min="1" max="1" width="6.28515625" style="800" customWidth="1"/>
    <col min="2" max="2" width="37.28515625" style="801" bestFit="1" customWidth="1"/>
    <col min="3" max="3" width="30.85546875" style="801" customWidth="1"/>
    <col min="4" max="4" width="32.85546875" style="801" customWidth="1"/>
    <col min="5" max="5" width="24.7109375" style="801" customWidth="1"/>
    <col min="6" max="6" width="20.5703125" style="801" customWidth="1"/>
    <col min="7" max="8" width="22.28515625" style="801" customWidth="1"/>
    <col min="9" max="9" width="23.42578125" style="801" customWidth="1"/>
    <col min="10" max="10" width="23.140625" style="801" customWidth="1"/>
    <col min="11" max="12" width="27.5703125" style="801" customWidth="1"/>
    <col min="13" max="13" width="26.140625" style="801" customWidth="1"/>
    <col min="14" max="14" width="24.42578125" style="801" customWidth="1"/>
    <col min="15" max="16" width="15.140625" style="801" customWidth="1"/>
    <col min="17" max="17" width="20.28515625" style="801" customWidth="1"/>
    <col min="18" max="16384" width="11.42578125" style="801"/>
  </cols>
  <sheetData>
    <row r="1" spans="1:16">
      <c r="C1" s="802"/>
      <c r="D1" s="802"/>
      <c r="E1" s="802"/>
      <c r="F1" s="802"/>
      <c r="I1" s="803" t="s">
        <v>676</v>
      </c>
      <c r="J1" s="802"/>
      <c r="K1" s="802"/>
      <c r="L1" s="802"/>
    </row>
    <row r="2" spans="1:16">
      <c r="A2" s="805"/>
      <c r="C2" s="802"/>
      <c r="D2" s="802"/>
      <c r="E2" s="802"/>
      <c r="F2" s="802"/>
      <c r="G2" s="802"/>
      <c r="H2" s="802"/>
      <c r="I2" s="806" t="s">
        <v>677</v>
      </c>
      <c r="J2" s="802"/>
      <c r="K2" s="802"/>
      <c r="L2" s="802"/>
      <c r="M2" s="802"/>
      <c r="O2" s="807"/>
    </row>
    <row r="3" spans="1:16">
      <c r="A3" s="805"/>
      <c r="C3" s="802"/>
      <c r="D3" s="802"/>
      <c r="E3" s="802"/>
      <c r="F3" s="802"/>
      <c r="G3" s="802"/>
      <c r="H3" s="802"/>
      <c r="I3" s="808" t="s">
        <v>176</v>
      </c>
      <c r="J3" s="802"/>
      <c r="K3" s="802"/>
      <c r="L3" s="802"/>
      <c r="M3" s="802"/>
    </row>
    <row r="4" spans="1:16">
      <c r="A4" s="805"/>
      <c r="C4" s="802"/>
      <c r="D4" s="802"/>
      <c r="E4" s="1106"/>
      <c r="F4" s="802"/>
      <c r="G4" s="802"/>
      <c r="H4" s="802"/>
      <c r="I4" s="802"/>
      <c r="J4" s="802"/>
      <c r="K4" s="802"/>
      <c r="L4" s="802"/>
      <c r="M4" s="802"/>
      <c r="P4" s="1158"/>
    </row>
    <row r="5" spans="1:16" ht="13.5" thickBot="1">
      <c r="A5" s="805"/>
      <c r="B5" s="809"/>
      <c r="C5" s="809"/>
      <c r="D5" s="809"/>
      <c r="E5" s="809"/>
      <c r="F5" s="809"/>
      <c r="G5" s="802"/>
      <c r="H5" s="802"/>
      <c r="I5" s="802"/>
      <c r="J5" s="802"/>
      <c r="K5" s="802"/>
      <c r="L5" s="802"/>
      <c r="M5" s="809"/>
    </row>
    <row r="6" spans="1:16" ht="13.5" thickBot="1">
      <c r="A6" s="805"/>
      <c r="B6" s="1340" t="s">
        <v>941</v>
      </c>
      <c r="C6" s="2038" t="s">
        <v>1505</v>
      </c>
      <c r="D6" s="2041"/>
      <c r="E6" s="2041"/>
      <c r="F6" s="2042"/>
      <c r="G6" s="2038" t="s">
        <v>1529</v>
      </c>
      <c r="H6" s="2041"/>
      <c r="I6" s="2041"/>
      <c r="J6" s="2042"/>
      <c r="K6" s="2038" t="s">
        <v>1530</v>
      </c>
      <c r="L6" s="2041"/>
      <c r="M6" s="2041"/>
      <c r="N6" s="2042"/>
      <c r="P6" s="1158"/>
    </row>
    <row r="7" spans="1:16" s="814" customFormat="1" ht="25.5">
      <c r="A7" s="811" t="s">
        <v>613</v>
      </c>
      <c r="B7" s="812" t="s">
        <v>211</v>
      </c>
      <c r="C7" s="812" t="s">
        <v>678</v>
      </c>
      <c r="D7" s="812" t="s">
        <v>275</v>
      </c>
      <c r="E7" s="812" t="s">
        <v>189</v>
      </c>
      <c r="F7" s="813" t="s">
        <v>614</v>
      </c>
      <c r="G7" s="812" t="s">
        <v>678</v>
      </c>
      <c r="H7" s="812" t="s">
        <v>275</v>
      </c>
      <c r="I7" s="812" t="s">
        <v>189</v>
      </c>
      <c r="J7" s="813" t="s">
        <v>614</v>
      </c>
      <c r="K7" s="812" t="s">
        <v>678</v>
      </c>
      <c r="L7" s="812" t="s">
        <v>275</v>
      </c>
      <c r="M7" s="812" t="s">
        <v>189</v>
      </c>
      <c r="N7" s="813" t="s">
        <v>614</v>
      </c>
      <c r="O7" s="802"/>
    </row>
    <row r="8" spans="1:16" s="816" customFormat="1">
      <c r="A8" s="805"/>
      <c r="B8" s="810" t="s">
        <v>619</v>
      </c>
      <c r="C8" s="810" t="s">
        <v>620</v>
      </c>
      <c r="D8" s="810" t="s">
        <v>621</v>
      </c>
      <c r="E8" s="812" t="s">
        <v>622</v>
      </c>
      <c r="F8" s="810" t="s">
        <v>623</v>
      </c>
      <c r="G8" s="810" t="s">
        <v>624</v>
      </c>
      <c r="H8" s="812" t="s">
        <v>625</v>
      </c>
      <c r="I8" s="810" t="s">
        <v>626</v>
      </c>
      <c r="J8" s="810" t="s">
        <v>627</v>
      </c>
      <c r="K8" s="812" t="s">
        <v>628</v>
      </c>
      <c r="L8" s="810" t="s">
        <v>629</v>
      </c>
      <c r="M8" s="812" t="s">
        <v>663</v>
      </c>
      <c r="N8" s="812" t="s">
        <v>883</v>
      </c>
      <c r="O8" s="802"/>
    </row>
    <row r="9" spans="1:16" s="816" customFormat="1">
      <c r="A9" s="805"/>
      <c r="B9" s="817" t="s">
        <v>682</v>
      </c>
      <c r="C9" s="806"/>
      <c r="D9" s="806"/>
      <c r="E9" s="806"/>
      <c r="F9" s="818"/>
      <c r="G9" s="806"/>
      <c r="H9" s="806"/>
      <c r="I9" s="806"/>
      <c r="J9" s="818"/>
      <c r="K9" s="806">
        <v>6</v>
      </c>
      <c r="L9" s="806"/>
      <c r="M9" s="806"/>
      <c r="N9" s="818"/>
      <c r="O9" s="802"/>
    </row>
    <row r="10" spans="1:16" s="816" customFormat="1" ht="127.5">
      <c r="A10" s="805"/>
      <c r="B10" s="810"/>
      <c r="C10" s="820" t="s">
        <v>1106</v>
      </c>
      <c r="D10" s="820" t="s">
        <v>1091</v>
      </c>
      <c r="E10" s="821" t="s">
        <v>1107</v>
      </c>
      <c r="F10" s="822" t="s">
        <v>632</v>
      </c>
      <c r="G10" s="820" t="s">
        <v>1108</v>
      </c>
      <c r="H10" s="820" t="s">
        <v>1090</v>
      </c>
      <c r="I10" s="821" t="s">
        <v>1109</v>
      </c>
      <c r="J10" s="822" t="s">
        <v>632</v>
      </c>
      <c r="K10" s="820" t="s">
        <v>1092</v>
      </c>
      <c r="L10" s="820" t="s">
        <v>1093</v>
      </c>
      <c r="M10" s="820" t="s">
        <v>1094</v>
      </c>
      <c r="N10" s="820" t="s">
        <v>1095</v>
      </c>
      <c r="O10" s="802"/>
    </row>
    <row r="11" spans="1:16">
      <c r="A11" s="805">
        <v>1</v>
      </c>
      <c r="B11" s="823" t="s">
        <v>635</v>
      </c>
      <c r="C11" s="824">
        <v>9571104071</v>
      </c>
      <c r="D11" s="824">
        <v>1723217446</v>
      </c>
      <c r="E11" s="824">
        <v>465178350</v>
      </c>
      <c r="F11" s="824">
        <v>0</v>
      </c>
      <c r="G11" s="824">
        <v>18834046.739999998</v>
      </c>
      <c r="H11" s="824"/>
      <c r="I11" s="824"/>
      <c r="J11" s="824">
        <v>0</v>
      </c>
      <c r="K11" s="824">
        <f>+C11-G11</f>
        <v>9552270024.2600002</v>
      </c>
      <c r="L11" s="824">
        <f>+D11-H11</f>
        <v>1723217446</v>
      </c>
      <c r="M11" s="824">
        <f>+E11-I11</f>
        <v>465178350</v>
      </c>
      <c r="N11" s="824">
        <v>0</v>
      </c>
      <c r="P11" s="802"/>
    </row>
    <row r="12" spans="1:16">
      <c r="A12" s="805">
        <v>2</v>
      </c>
      <c r="B12" s="823" t="s">
        <v>636</v>
      </c>
      <c r="C12" s="868">
        <v>9620138742.7199993</v>
      </c>
      <c r="D12" s="824">
        <v>1730606312.0900002</v>
      </c>
      <c r="E12" s="868">
        <v>470208680.42000008</v>
      </c>
      <c r="F12" s="824">
        <v>0</v>
      </c>
      <c r="G12" s="824">
        <v>18691159.07</v>
      </c>
      <c r="H12" s="824"/>
      <c r="I12" s="868"/>
      <c r="J12" s="824">
        <v>0</v>
      </c>
      <c r="K12" s="824">
        <f t="shared" ref="K12:K23" si="0">+C12-G12</f>
        <v>9601447583.6499996</v>
      </c>
      <c r="L12" s="824">
        <f t="shared" ref="L12:L23" si="1">+D12-H12</f>
        <v>1730606312.0900002</v>
      </c>
      <c r="M12" s="824">
        <f t="shared" ref="M12:M23" si="2">+E12-I12</f>
        <v>470208680.42000008</v>
      </c>
      <c r="N12" s="824">
        <f t="shared" ref="N12:N23" si="3">+F12-J12</f>
        <v>0</v>
      </c>
      <c r="O12" s="802"/>
      <c r="P12" s="802"/>
    </row>
    <row r="13" spans="1:16">
      <c r="A13" s="805">
        <v>3</v>
      </c>
      <c r="B13" s="802" t="s">
        <v>637</v>
      </c>
      <c r="C13" s="868">
        <v>9681496449.5300026</v>
      </c>
      <c r="D13" s="824">
        <v>1761567296.5899999</v>
      </c>
      <c r="E13" s="868">
        <v>471720754.98999995</v>
      </c>
      <c r="F13" s="824">
        <v>0</v>
      </c>
      <c r="G13" s="824">
        <v>18785684.449999999</v>
      </c>
      <c r="H13" s="824"/>
      <c r="I13" s="868"/>
      <c r="J13" s="824">
        <v>0</v>
      </c>
      <c r="K13" s="824">
        <f t="shared" si="0"/>
        <v>9662710765.0800018</v>
      </c>
      <c r="L13" s="824">
        <f t="shared" si="1"/>
        <v>1761567296.5899999</v>
      </c>
      <c r="M13" s="824">
        <f t="shared" si="2"/>
        <v>471720754.98999995</v>
      </c>
      <c r="N13" s="824">
        <f t="shared" si="3"/>
        <v>0</v>
      </c>
      <c r="O13" s="802"/>
      <c r="P13" s="802"/>
    </row>
    <row r="14" spans="1:16">
      <c r="A14" s="805">
        <v>4</v>
      </c>
      <c r="B14" s="802" t="s">
        <v>638</v>
      </c>
      <c r="C14" s="868">
        <v>9693251242.4999943</v>
      </c>
      <c r="D14" s="824">
        <v>1758900749.24</v>
      </c>
      <c r="E14" s="868">
        <v>475951150.03622103</v>
      </c>
      <c r="F14" s="824">
        <v>0</v>
      </c>
      <c r="G14" s="824">
        <v>18808841.459999997</v>
      </c>
      <c r="H14" s="824"/>
      <c r="I14" s="868"/>
      <c r="J14" s="824">
        <v>0</v>
      </c>
      <c r="K14" s="824">
        <f t="shared" si="0"/>
        <v>9674442401.0399952</v>
      </c>
      <c r="L14" s="824">
        <f t="shared" si="1"/>
        <v>1758900749.24</v>
      </c>
      <c r="M14" s="824">
        <f t="shared" si="2"/>
        <v>475951150.03622103</v>
      </c>
      <c r="N14" s="824">
        <f t="shared" si="3"/>
        <v>0</v>
      </c>
      <c r="O14" s="802"/>
      <c r="P14" s="802"/>
    </row>
    <row r="15" spans="1:16">
      <c r="A15" s="805">
        <v>5</v>
      </c>
      <c r="B15" s="802" t="s">
        <v>213</v>
      </c>
      <c r="C15" s="868">
        <v>9725197153.6599998</v>
      </c>
      <c r="D15" s="824">
        <v>1763477401.5899999</v>
      </c>
      <c r="E15" s="868">
        <v>477651729.77999991</v>
      </c>
      <c r="F15" s="824">
        <v>0</v>
      </c>
      <c r="G15" s="824">
        <v>18808841.459999997</v>
      </c>
      <c r="H15" s="824"/>
      <c r="I15" s="868"/>
      <c r="J15" s="824">
        <v>0</v>
      </c>
      <c r="K15" s="824">
        <f t="shared" si="0"/>
        <v>9706388312.2000008</v>
      </c>
      <c r="L15" s="824">
        <f t="shared" si="1"/>
        <v>1763477401.5899999</v>
      </c>
      <c r="M15" s="824">
        <f t="shared" si="2"/>
        <v>477651729.77999991</v>
      </c>
      <c r="N15" s="824">
        <f t="shared" si="3"/>
        <v>0</v>
      </c>
      <c r="O15" s="802"/>
      <c r="P15" s="802"/>
    </row>
    <row r="16" spans="1:16">
      <c r="A16" s="805">
        <v>6</v>
      </c>
      <c r="B16" s="802" t="s">
        <v>214</v>
      </c>
      <c r="C16" s="868">
        <v>9830367976.4899979</v>
      </c>
      <c r="D16" s="824">
        <v>1764154611.7900002</v>
      </c>
      <c r="E16" s="868">
        <v>481861148.1099999</v>
      </c>
      <c r="F16" s="824">
        <v>0</v>
      </c>
      <c r="G16" s="824">
        <v>18806670.729999997</v>
      </c>
      <c r="H16" s="824"/>
      <c r="I16" s="868"/>
      <c r="J16" s="824">
        <v>0</v>
      </c>
      <c r="K16" s="824">
        <f t="shared" si="0"/>
        <v>9811561305.7599983</v>
      </c>
      <c r="L16" s="824">
        <f t="shared" si="1"/>
        <v>1764154611.7900002</v>
      </c>
      <c r="M16" s="824">
        <f t="shared" si="2"/>
        <v>481861148.1099999</v>
      </c>
      <c r="N16" s="824">
        <f t="shared" si="3"/>
        <v>0</v>
      </c>
      <c r="O16" s="802"/>
      <c r="P16" s="802"/>
    </row>
    <row r="17" spans="1:16">
      <c r="A17" s="805">
        <v>7</v>
      </c>
      <c r="B17" s="802" t="s">
        <v>215</v>
      </c>
      <c r="C17" s="868">
        <v>9864954366.5099983</v>
      </c>
      <c r="D17" s="824">
        <v>1761725580.1300004</v>
      </c>
      <c r="E17" s="868">
        <v>486337242.01000005</v>
      </c>
      <c r="F17" s="824">
        <v>0</v>
      </c>
      <c r="G17" s="824">
        <v>18804004.079999994</v>
      </c>
      <c r="H17" s="824"/>
      <c r="I17" s="868"/>
      <c r="J17" s="824">
        <v>0</v>
      </c>
      <c r="K17" s="824">
        <f t="shared" si="0"/>
        <v>9846150362.4299984</v>
      </c>
      <c r="L17" s="824">
        <f t="shared" si="1"/>
        <v>1761725580.1300004</v>
      </c>
      <c r="M17" s="824">
        <f t="shared" si="2"/>
        <v>486337242.01000005</v>
      </c>
      <c r="N17" s="824">
        <f t="shared" si="3"/>
        <v>0</v>
      </c>
      <c r="O17" s="802"/>
      <c r="P17" s="802"/>
    </row>
    <row r="18" spans="1:16">
      <c r="A18" s="805">
        <v>8</v>
      </c>
      <c r="B18" s="802" t="s">
        <v>639</v>
      </c>
      <c r="C18" s="868">
        <v>9896140069.9799995</v>
      </c>
      <c r="D18" s="824">
        <v>1765158828.2200005</v>
      </c>
      <c r="E18" s="868">
        <v>488570291.30999982</v>
      </c>
      <c r="F18" s="824">
        <v>0</v>
      </c>
      <c r="G18" s="824">
        <v>18801280.719999995</v>
      </c>
      <c r="H18" s="824"/>
      <c r="I18" s="868"/>
      <c r="J18" s="824">
        <v>0</v>
      </c>
      <c r="K18" s="824">
        <f t="shared" si="0"/>
        <v>9877338789.2600002</v>
      </c>
      <c r="L18" s="824">
        <f t="shared" si="1"/>
        <v>1765158828.2200005</v>
      </c>
      <c r="M18" s="824">
        <f t="shared" si="2"/>
        <v>488570291.30999982</v>
      </c>
      <c r="N18" s="824">
        <f t="shared" si="3"/>
        <v>0</v>
      </c>
      <c r="O18" s="802"/>
      <c r="P18" s="802"/>
    </row>
    <row r="19" spans="1:16">
      <c r="A19" s="805">
        <v>9</v>
      </c>
      <c r="B19" s="802" t="s">
        <v>640</v>
      </c>
      <c r="C19" s="868">
        <v>9926814012.4999981</v>
      </c>
      <c r="D19" s="824">
        <v>1766925469.5400004</v>
      </c>
      <c r="E19" s="868">
        <v>489131820.73999995</v>
      </c>
      <c r="F19" s="824">
        <v>0</v>
      </c>
      <c r="G19" s="824">
        <v>18799189.999999993</v>
      </c>
      <c r="H19" s="824"/>
      <c r="I19" s="868"/>
      <c r="J19" s="824">
        <v>0</v>
      </c>
      <c r="K19" s="824">
        <f t="shared" si="0"/>
        <v>9908014822.4999981</v>
      </c>
      <c r="L19" s="824">
        <f t="shared" si="1"/>
        <v>1766925469.5400004</v>
      </c>
      <c r="M19" s="824">
        <f t="shared" si="2"/>
        <v>489131820.73999995</v>
      </c>
      <c r="N19" s="824">
        <f t="shared" si="3"/>
        <v>0</v>
      </c>
      <c r="O19" s="802"/>
      <c r="P19" s="802"/>
    </row>
    <row r="20" spans="1:16">
      <c r="A20" s="805">
        <v>10</v>
      </c>
      <c r="B20" s="802" t="s">
        <v>641</v>
      </c>
      <c r="C20" s="868">
        <v>9944624219.460001</v>
      </c>
      <c r="D20" s="824">
        <v>1764231649.6199999</v>
      </c>
      <c r="E20" s="868">
        <v>493576929.8499999</v>
      </c>
      <c r="F20" s="824">
        <v>0</v>
      </c>
      <c r="G20" s="824">
        <v>15753879.009999992</v>
      </c>
      <c r="H20" s="824"/>
      <c r="I20" s="868">
        <v>27116.32</v>
      </c>
      <c r="J20" s="824">
        <v>0</v>
      </c>
      <c r="K20" s="824">
        <f t="shared" si="0"/>
        <v>9928870340.4500008</v>
      </c>
      <c r="L20" s="824">
        <f t="shared" si="1"/>
        <v>1764231649.6199999</v>
      </c>
      <c r="M20" s="824">
        <f t="shared" si="2"/>
        <v>493549813.52999991</v>
      </c>
      <c r="N20" s="824">
        <f t="shared" si="3"/>
        <v>0</v>
      </c>
      <c r="O20" s="802"/>
      <c r="P20" s="802"/>
    </row>
    <row r="21" spans="1:16">
      <c r="A21" s="805">
        <v>11</v>
      </c>
      <c r="B21" s="802" t="s">
        <v>642</v>
      </c>
      <c r="C21" s="868">
        <v>9997189238.2199974</v>
      </c>
      <c r="D21" s="824">
        <v>1769553161.3699999</v>
      </c>
      <c r="E21" s="868">
        <v>509858291.36999995</v>
      </c>
      <c r="F21" s="824">
        <v>0</v>
      </c>
      <c r="G21" s="824">
        <v>15753879.009999992</v>
      </c>
      <c r="H21" s="824"/>
      <c r="I21" s="868">
        <v>27116.320000000007</v>
      </c>
      <c r="J21" s="824">
        <v>0</v>
      </c>
      <c r="K21" s="824">
        <f t="shared" si="0"/>
        <v>9981435359.2099972</v>
      </c>
      <c r="L21" s="824">
        <f t="shared" si="1"/>
        <v>1769553161.3699999</v>
      </c>
      <c r="M21" s="824">
        <f t="shared" si="2"/>
        <v>509831175.04999995</v>
      </c>
      <c r="N21" s="824">
        <f t="shared" si="3"/>
        <v>0</v>
      </c>
      <c r="O21" s="802"/>
      <c r="P21" s="802"/>
    </row>
    <row r="22" spans="1:16">
      <c r="A22" s="805">
        <v>12</v>
      </c>
      <c r="B22" s="802" t="s">
        <v>643</v>
      </c>
      <c r="C22" s="868">
        <v>10043393179.089996</v>
      </c>
      <c r="D22" s="824">
        <v>1770977753.5300002</v>
      </c>
      <c r="E22" s="868">
        <v>514679461.13999987</v>
      </c>
      <c r="F22" s="824">
        <v>0</v>
      </c>
      <c r="G22" s="824">
        <v>15753291.749999994</v>
      </c>
      <c r="H22" s="824"/>
      <c r="I22" s="868">
        <v>27116.320000000007</v>
      </c>
      <c r="J22" s="824">
        <v>0</v>
      </c>
      <c r="K22" s="824">
        <f t="shared" si="0"/>
        <v>10027639887.339996</v>
      </c>
      <c r="L22" s="824">
        <f t="shared" si="1"/>
        <v>1770977753.5300002</v>
      </c>
      <c r="M22" s="824">
        <f t="shared" si="2"/>
        <v>514652344.81999987</v>
      </c>
      <c r="N22" s="824">
        <f t="shared" si="3"/>
        <v>0</v>
      </c>
      <c r="O22" s="802"/>
      <c r="P22" s="802"/>
    </row>
    <row r="23" spans="1:16">
      <c r="A23" s="805">
        <v>13</v>
      </c>
      <c r="B23" s="802" t="s">
        <v>644</v>
      </c>
      <c r="C23" s="824">
        <f>+'5 - Cost Support 1'!I239</f>
        <v>10093751862</v>
      </c>
      <c r="D23" s="824">
        <f>+'5 - Cost Support 1'!I242</f>
        <v>1770704957</v>
      </c>
      <c r="E23" s="824">
        <f>+'5 - Cost Support 1'!I243</f>
        <v>538193903</v>
      </c>
      <c r="F23" s="824">
        <v>0</v>
      </c>
      <c r="G23" s="824">
        <v>16250040.649999993</v>
      </c>
      <c r="H23" s="824"/>
      <c r="I23" s="868">
        <f>+I22</f>
        <v>27116.320000000007</v>
      </c>
      <c r="J23" s="824">
        <v>0</v>
      </c>
      <c r="K23" s="824">
        <f t="shared" si="0"/>
        <v>10077501821.35</v>
      </c>
      <c r="L23" s="824">
        <f t="shared" si="1"/>
        <v>1770704957</v>
      </c>
      <c r="M23" s="824">
        <f t="shared" si="2"/>
        <v>538166786.67999995</v>
      </c>
      <c r="N23" s="824">
        <f t="shared" si="3"/>
        <v>0</v>
      </c>
      <c r="O23" s="802"/>
      <c r="P23" s="802"/>
    </row>
    <row r="24" spans="1:16" ht="13.5" thickBot="1">
      <c r="A24" s="805">
        <v>14</v>
      </c>
      <c r="B24" s="804" t="s">
        <v>645</v>
      </c>
      <c r="C24" s="826">
        <f t="shared" ref="C24:J24" si="4">SUM(C11:C23)/13</f>
        <v>9837570967.9738464</v>
      </c>
      <c r="D24" s="826">
        <f t="shared" si="4"/>
        <v>1759323170.5161541</v>
      </c>
      <c r="E24" s="826">
        <f t="shared" si="4"/>
        <v>489455365.59663242</v>
      </c>
      <c r="F24" s="826">
        <f t="shared" si="4"/>
        <v>0</v>
      </c>
      <c r="G24" s="826">
        <f t="shared" si="4"/>
        <v>17896216.086923074</v>
      </c>
      <c r="H24" s="826">
        <f t="shared" si="4"/>
        <v>0</v>
      </c>
      <c r="I24" s="826">
        <f t="shared" si="4"/>
        <v>8343.4830769230794</v>
      </c>
      <c r="J24" s="826">
        <f t="shared" si="4"/>
        <v>0</v>
      </c>
      <c r="K24" s="826">
        <f t="shared" ref="K24:N24" si="5">SUM(K11:K23)/13</f>
        <v>9819674751.8869209</v>
      </c>
      <c r="L24" s="826">
        <f t="shared" si="5"/>
        <v>1759323170.5161541</v>
      </c>
      <c r="M24" s="826">
        <f t="shared" si="5"/>
        <v>489447022.11355549</v>
      </c>
      <c r="N24" s="826">
        <f t="shared" si="5"/>
        <v>0</v>
      </c>
      <c r="O24" s="802"/>
    </row>
    <row r="25" spans="1:16" ht="14.25" thickTop="1" thickBot="1">
      <c r="A25" s="805"/>
      <c r="B25" s="802"/>
      <c r="C25" s="827"/>
      <c r="D25" s="827"/>
      <c r="E25" s="828"/>
      <c r="F25" s="828"/>
      <c r="G25" s="802"/>
      <c r="H25" s="802"/>
      <c r="I25" s="827"/>
      <c r="J25" s="827"/>
      <c r="K25" s="827"/>
      <c r="L25" s="827"/>
    </row>
    <row r="26" spans="1:16" s="1076" customFormat="1" ht="15.75" thickBot="1">
      <c r="A26" s="1075"/>
      <c r="B26" s="809"/>
      <c r="C26" s="2038" t="s">
        <v>1531</v>
      </c>
      <c r="D26" s="2041"/>
      <c r="E26" s="2041"/>
      <c r="F26" s="2041"/>
      <c r="G26" s="2043"/>
      <c r="H26" s="2040"/>
      <c r="I26" s="2038" t="s">
        <v>1529</v>
      </c>
      <c r="J26" s="2043"/>
      <c r="K26" s="2043"/>
      <c r="L26" s="2043"/>
      <c r="M26" s="2043"/>
      <c r="N26" s="2040"/>
    </row>
    <row r="27" spans="1:16" s="814" customFormat="1" ht="25.5">
      <c r="A27" s="811" t="s">
        <v>613</v>
      </c>
      <c r="B27" s="812" t="s">
        <v>211</v>
      </c>
      <c r="C27" s="812" t="s">
        <v>678</v>
      </c>
      <c r="D27" s="812" t="s">
        <v>275</v>
      </c>
      <c r="E27" s="812" t="s">
        <v>924</v>
      </c>
      <c r="F27" s="813" t="s">
        <v>925</v>
      </c>
      <c r="G27" s="813" t="s">
        <v>926</v>
      </c>
      <c r="H27" s="813" t="s">
        <v>927</v>
      </c>
      <c r="I27" s="812" t="s">
        <v>678</v>
      </c>
      <c r="J27" s="812" t="s">
        <v>275</v>
      </c>
      <c r="K27" s="812" t="s">
        <v>924</v>
      </c>
      <c r="L27" s="813" t="s">
        <v>925</v>
      </c>
      <c r="M27" s="813" t="s">
        <v>926</v>
      </c>
      <c r="N27" s="813" t="s">
        <v>927</v>
      </c>
    </row>
    <row r="28" spans="1:16" s="816" customFormat="1">
      <c r="A28" s="805"/>
      <c r="B28" s="810" t="s">
        <v>619</v>
      </c>
      <c r="C28" s="810" t="s">
        <v>620</v>
      </c>
      <c r="D28" s="810" t="s">
        <v>621</v>
      </c>
      <c r="E28" s="812" t="s">
        <v>622</v>
      </c>
      <c r="F28" s="810" t="s">
        <v>623</v>
      </c>
      <c r="G28" s="810" t="s">
        <v>624</v>
      </c>
      <c r="H28" s="812" t="s">
        <v>625</v>
      </c>
      <c r="I28" s="810" t="s">
        <v>626</v>
      </c>
      <c r="J28" s="810" t="s">
        <v>627</v>
      </c>
      <c r="K28" s="812" t="s">
        <v>628</v>
      </c>
      <c r="L28" s="810" t="s">
        <v>629</v>
      </c>
      <c r="M28" s="812" t="s">
        <v>663</v>
      </c>
      <c r="N28" s="812" t="s">
        <v>883</v>
      </c>
      <c r="O28" s="802"/>
    </row>
    <row r="29" spans="1:16" s="816" customFormat="1">
      <c r="A29" s="805"/>
      <c r="B29" s="817" t="s">
        <v>682</v>
      </c>
      <c r="C29" s="1151"/>
      <c r="D29" s="806"/>
      <c r="E29" s="806"/>
      <c r="G29" s="818"/>
      <c r="H29" s="818"/>
      <c r="I29" s="806"/>
      <c r="J29" s="806"/>
      <c r="K29" s="806"/>
      <c r="L29" s="818"/>
    </row>
    <row r="30" spans="1:16" s="816" customFormat="1" ht="76.5">
      <c r="A30" s="805"/>
      <c r="B30" s="810"/>
      <c r="C30" s="820" t="s">
        <v>1097</v>
      </c>
      <c r="D30" s="820" t="s">
        <v>1096</v>
      </c>
      <c r="E30" s="821" t="s">
        <v>1098</v>
      </c>
      <c r="F30" s="1107" t="s">
        <v>1099</v>
      </c>
      <c r="G30" s="822" t="s">
        <v>632</v>
      </c>
      <c r="H30" s="822" t="s">
        <v>632</v>
      </c>
      <c r="I30" s="820" t="s">
        <v>1097</v>
      </c>
      <c r="J30" s="820" t="s">
        <v>1096</v>
      </c>
      <c r="K30" s="821" t="s">
        <v>1098</v>
      </c>
      <c r="L30" s="1107" t="s">
        <v>1099</v>
      </c>
      <c r="M30" s="822" t="s">
        <v>632</v>
      </c>
      <c r="N30" s="822" t="s">
        <v>632</v>
      </c>
    </row>
    <row r="31" spans="1:16">
      <c r="A31" s="805">
        <v>15</v>
      </c>
      <c r="B31" s="823" t="s">
        <v>635</v>
      </c>
      <c r="C31" s="824">
        <v>3190405030</v>
      </c>
      <c r="D31" s="824">
        <v>529881202</v>
      </c>
      <c r="E31" s="824">
        <v>128866187</v>
      </c>
      <c r="F31" s="824">
        <v>39732242.329999998</v>
      </c>
      <c r="G31" s="824">
        <v>0</v>
      </c>
      <c r="H31" s="824">
        <v>0</v>
      </c>
      <c r="I31" s="824">
        <v>1134415.49</v>
      </c>
      <c r="J31" s="824"/>
      <c r="K31" s="824">
        <v>0</v>
      </c>
      <c r="L31" s="824">
        <v>0</v>
      </c>
      <c r="M31" s="824">
        <v>0</v>
      </c>
      <c r="N31" s="824">
        <v>0</v>
      </c>
      <c r="P31" s="802"/>
    </row>
    <row r="32" spans="1:16">
      <c r="A32" s="805">
        <v>16</v>
      </c>
      <c r="B32" s="823" t="s">
        <v>636</v>
      </c>
      <c r="C32" s="868">
        <v>3199306702.7800002</v>
      </c>
      <c r="D32" s="868">
        <v>531012709</v>
      </c>
      <c r="E32" s="868">
        <v>130581171.78</v>
      </c>
      <c r="F32" s="868">
        <v>41005745.219999999</v>
      </c>
      <c r="G32" s="824">
        <v>0</v>
      </c>
      <c r="H32" s="824">
        <v>0</v>
      </c>
      <c r="I32" s="824">
        <v>1055939.5900000001</v>
      </c>
      <c r="J32" s="824"/>
      <c r="K32" s="824">
        <v>0</v>
      </c>
      <c r="L32" s="824">
        <v>0</v>
      </c>
      <c r="M32" s="824">
        <v>0</v>
      </c>
      <c r="N32" s="824">
        <v>0</v>
      </c>
      <c r="P32" s="802"/>
    </row>
    <row r="33" spans="1:16">
      <c r="A33" s="805">
        <v>17</v>
      </c>
      <c r="B33" s="802" t="s">
        <v>637</v>
      </c>
      <c r="C33" s="868">
        <v>3215526051.3000002</v>
      </c>
      <c r="D33" s="868">
        <v>532809339</v>
      </c>
      <c r="E33" s="868">
        <v>131598939.3</v>
      </c>
      <c r="F33" s="868">
        <v>42289960.700000003</v>
      </c>
      <c r="G33" s="824">
        <v>0</v>
      </c>
      <c r="H33" s="824">
        <v>0</v>
      </c>
      <c r="I33" s="824">
        <v>1214876.6800000002</v>
      </c>
      <c r="J33" s="824"/>
      <c r="K33" s="824">
        <v>0</v>
      </c>
      <c r="L33" s="824">
        <v>0</v>
      </c>
      <c r="M33" s="824">
        <v>0</v>
      </c>
      <c r="N33" s="824">
        <v>0</v>
      </c>
      <c r="P33" s="802"/>
    </row>
    <row r="34" spans="1:16">
      <c r="A34" s="805">
        <v>18</v>
      </c>
      <c r="B34" s="802" t="s">
        <v>638</v>
      </c>
      <c r="C34" s="868">
        <v>3234933656.7800002</v>
      </c>
      <c r="D34" s="868">
        <v>535175134</v>
      </c>
      <c r="E34" s="868">
        <v>132625554.78</v>
      </c>
      <c r="F34" s="868">
        <v>43602892.219999999</v>
      </c>
      <c r="G34" s="824">
        <v>0</v>
      </c>
      <c r="H34" s="824">
        <v>0</v>
      </c>
      <c r="I34" s="824">
        <v>1302445.3900000001</v>
      </c>
      <c r="J34" s="824"/>
      <c r="K34" s="824">
        <v>0</v>
      </c>
      <c r="L34" s="824">
        <v>0</v>
      </c>
      <c r="M34" s="824">
        <v>0</v>
      </c>
      <c r="N34" s="824">
        <v>0</v>
      </c>
      <c r="P34" s="802"/>
    </row>
    <row r="35" spans="1:16">
      <c r="A35" s="805">
        <v>19</v>
      </c>
      <c r="B35" s="802" t="s">
        <v>213</v>
      </c>
      <c r="C35" s="868">
        <v>3241789118.3000002</v>
      </c>
      <c r="D35" s="868">
        <v>535906434</v>
      </c>
      <c r="E35" s="868">
        <v>133418112.3</v>
      </c>
      <c r="F35" s="868">
        <v>44933024.700000003</v>
      </c>
      <c r="G35" s="824">
        <v>0</v>
      </c>
      <c r="H35" s="824">
        <v>0</v>
      </c>
      <c r="I35" s="824">
        <v>1366857.1</v>
      </c>
      <c r="J35" s="824"/>
      <c r="K35" s="824">
        <v>0</v>
      </c>
      <c r="L35" s="824">
        <v>0</v>
      </c>
      <c r="M35" s="824">
        <v>0</v>
      </c>
      <c r="N35" s="824">
        <v>0</v>
      </c>
      <c r="P35" s="802"/>
    </row>
    <row r="36" spans="1:16" ht="13.5" customHeight="1">
      <c r="A36" s="805">
        <v>20</v>
      </c>
      <c r="B36" s="802" t="s">
        <v>214</v>
      </c>
      <c r="C36" s="868">
        <v>3254769951.7800002</v>
      </c>
      <c r="D36" s="868">
        <v>537982092</v>
      </c>
      <c r="E36" s="868">
        <v>134655044.78</v>
      </c>
      <c r="F36" s="868">
        <v>46270422.219999999</v>
      </c>
      <c r="G36" s="824">
        <v>0</v>
      </c>
      <c r="H36" s="824">
        <v>0</v>
      </c>
      <c r="I36" s="824">
        <v>1429098.13</v>
      </c>
      <c r="J36" s="824"/>
      <c r="K36" s="824">
        <v>0</v>
      </c>
      <c r="L36" s="824">
        <v>0</v>
      </c>
      <c r="M36" s="824">
        <v>0</v>
      </c>
      <c r="N36" s="824">
        <v>0</v>
      </c>
      <c r="P36" s="802"/>
    </row>
    <row r="37" spans="1:16">
      <c r="A37" s="805">
        <v>21</v>
      </c>
      <c r="B37" s="802" t="s">
        <v>215</v>
      </c>
      <c r="C37" s="868">
        <v>3272374785.3000002</v>
      </c>
      <c r="D37" s="868">
        <v>541133209</v>
      </c>
      <c r="E37" s="868">
        <v>135791046.30000001</v>
      </c>
      <c r="F37" s="868">
        <v>47679419.700000003</v>
      </c>
      <c r="G37" s="824">
        <v>0</v>
      </c>
      <c r="H37" s="824">
        <v>0</v>
      </c>
      <c r="I37" s="824">
        <v>1490843.32</v>
      </c>
      <c r="J37" s="824"/>
      <c r="K37" s="824">
        <v>0</v>
      </c>
      <c r="L37" s="824">
        <v>0</v>
      </c>
      <c r="M37" s="824">
        <v>0</v>
      </c>
      <c r="N37" s="824">
        <v>0</v>
      </c>
      <c r="P37" s="802"/>
    </row>
    <row r="38" spans="1:16">
      <c r="A38" s="805">
        <v>22</v>
      </c>
      <c r="B38" s="802" t="s">
        <v>639</v>
      </c>
      <c r="C38" s="868">
        <v>3276888538.7800002</v>
      </c>
      <c r="D38" s="868">
        <v>544002905</v>
      </c>
      <c r="E38" s="868">
        <v>136699532.78</v>
      </c>
      <c r="F38" s="868">
        <v>48918241.219999999</v>
      </c>
      <c r="G38" s="824">
        <v>0</v>
      </c>
      <c r="H38" s="824">
        <v>0</v>
      </c>
      <c r="I38" s="824">
        <v>1552531.74</v>
      </c>
      <c r="J38" s="824"/>
      <c r="K38" s="824">
        <v>0</v>
      </c>
      <c r="L38" s="824">
        <v>0</v>
      </c>
      <c r="M38" s="824">
        <v>0</v>
      </c>
      <c r="N38" s="824">
        <v>0</v>
      </c>
      <c r="P38" s="802"/>
    </row>
    <row r="39" spans="1:16">
      <c r="A39" s="805">
        <v>23</v>
      </c>
      <c r="B39" s="802" t="s">
        <v>640</v>
      </c>
      <c r="C39" s="868">
        <v>3293313248.3000002</v>
      </c>
      <c r="D39" s="868">
        <v>547990437</v>
      </c>
      <c r="E39" s="868">
        <v>137505351.30000001</v>
      </c>
      <c r="F39" s="868">
        <v>50303522.700000003</v>
      </c>
      <c r="G39" s="824">
        <v>0</v>
      </c>
      <c r="H39" s="824">
        <v>0</v>
      </c>
      <c r="I39" s="824">
        <v>1614852.71</v>
      </c>
      <c r="J39" s="824"/>
      <c r="K39" s="824">
        <v>0</v>
      </c>
      <c r="L39" s="824">
        <v>0</v>
      </c>
      <c r="M39" s="824">
        <v>0</v>
      </c>
      <c r="N39" s="824">
        <v>0</v>
      </c>
      <c r="P39" s="802"/>
    </row>
    <row r="40" spans="1:16">
      <c r="A40" s="805">
        <v>24</v>
      </c>
      <c r="B40" s="802" t="s">
        <v>641</v>
      </c>
      <c r="C40" s="868">
        <v>3314709688.7800002</v>
      </c>
      <c r="D40" s="868">
        <v>550297814</v>
      </c>
      <c r="E40" s="868">
        <v>138493808.78</v>
      </c>
      <c r="F40" s="868">
        <v>51735071.219999999</v>
      </c>
      <c r="G40" s="824">
        <v>0</v>
      </c>
      <c r="H40" s="824">
        <v>0</v>
      </c>
      <c r="I40" s="824">
        <v>1671336.31</v>
      </c>
      <c r="J40" s="824"/>
      <c r="K40" s="824">
        <v>260.73</v>
      </c>
      <c r="L40" s="824">
        <v>0</v>
      </c>
      <c r="M40" s="824">
        <v>0</v>
      </c>
      <c r="N40" s="824">
        <v>0</v>
      </c>
      <c r="P40" s="802"/>
    </row>
    <row r="41" spans="1:16">
      <c r="A41" s="805">
        <v>25</v>
      </c>
      <c r="B41" s="802" t="s">
        <v>642</v>
      </c>
      <c r="C41" s="868">
        <v>3322079117.3000002</v>
      </c>
      <c r="D41" s="868">
        <v>554542563</v>
      </c>
      <c r="E41" s="868">
        <v>139979278.30000001</v>
      </c>
      <c r="F41" s="868">
        <v>53286184.700000003</v>
      </c>
      <c r="G41" s="824">
        <v>0</v>
      </c>
      <c r="H41" s="824">
        <v>0</v>
      </c>
      <c r="I41" s="824">
        <v>1729621.29</v>
      </c>
      <c r="J41" s="824"/>
      <c r="K41" s="824">
        <v>787.31</v>
      </c>
      <c r="L41" s="824">
        <v>0</v>
      </c>
      <c r="M41" s="824">
        <v>0</v>
      </c>
      <c r="N41" s="824">
        <v>0</v>
      </c>
      <c r="P41" s="802"/>
    </row>
    <row r="42" spans="1:16">
      <c r="A42" s="805">
        <v>26</v>
      </c>
      <c r="B42" s="802" t="s">
        <v>643</v>
      </c>
      <c r="C42" s="868">
        <v>3328932198.7800002</v>
      </c>
      <c r="D42" s="868">
        <v>555038644</v>
      </c>
      <c r="E42" s="868">
        <v>140596805.78</v>
      </c>
      <c r="F42" s="868">
        <v>54952700.219999999</v>
      </c>
      <c r="G42" s="824">
        <v>0</v>
      </c>
      <c r="H42" s="824">
        <v>0</v>
      </c>
      <c r="I42" s="824">
        <v>1787318.92</v>
      </c>
      <c r="J42" s="824"/>
      <c r="K42" s="824">
        <v>1313.89</v>
      </c>
      <c r="L42" s="824">
        <v>0</v>
      </c>
      <c r="M42" s="824">
        <v>0</v>
      </c>
      <c r="N42" s="824">
        <v>0</v>
      </c>
      <c r="P42" s="802"/>
    </row>
    <row r="43" spans="1:16">
      <c r="A43" s="805">
        <v>27</v>
      </c>
      <c r="B43" s="802" t="s">
        <v>644</v>
      </c>
      <c r="C43" s="868">
        <f>+'5 - Cost Support 1'!I240</f>
        <v>3352343656</v>
      </c>
      <c r="D43" s="824">
        <v>557309701</v>
      </c>
      <c r="E43" s="824">
        <f>+'5 - Cost Support 1'!I244</f>
        <v>140234578</v>
      </c>
      <c r="F43" s="868">
        <f>+'5 - Cost Support 1'!I241</f>
        <v>56749747</v>
      </c>
      <c r="G43" s="824">
        <v>0</v>
      </c>
      <c r="H43" s="824">
        <v>0</v>
      </c>
      <c r="I43" s="824">
        <v>1845142.1300000001</v>
      </c>
      <c r="J43" s="824"/>
      <c r="K43" s="824">
        <v>1840.47</v>
      </c>
      <c r="L43" s="824">
        <v>0</v>
      </c>
      <c r="M43" s="824">
        <v>0</v>
      </c>
      <c r="N43" s="824">
        <v>0</v>
      </c>
      <c r="P43" s="802"/>
    </row>
    <row r="44" spans="1:16" ht="13.5" thickBot="1">
      <c r="A44" s="805">
        <v>28</v>
      </c>
      <c r="B44" s="804" t="s">
        <v>645</v>
      </c>
      <c r="C44" s="826">
        <f t="shared" ref="C44:L44" si="6">SUM(C31:C43)/13</f>
        <v>3269028595.7061539</v>
      </c>
      <c r="D44" s="826">
        <f t="shared" si="6"/>
        <v>542544783.30769229</v>
      </c>
      <c r="E44" s="826">
        <f t="shared" si="6"/>
        <v>135465031.62923077</v>
      </c>
      <c r="F44" s="826">
        <f t="shared" si="6"/>
        <v>47804551.857692309</v>
      </c>
      <c r="G44" s="826">
        <f t="shared" si="6"/>
        <v>0</v>
      </c>
      <c r="H44" s="826">
        <f t="shared" si="6"/>
        <v>0</v>
      </c>
      <c r="I44" s="826">
        <f t="shared" si="6"/>
        <v>1476559.9076923078</v>
      </c>
      <c r="J44" s="826">
        <f t="shared" si="6"/>
        <v>0</v>
      </c>
      <c r="K44" s="826">
        <f t="shared" si="6"/>
        <v>323.26153846153852</v>
      </c>
      <c r="L44" s="826">
        <f t="shared" si="6"/>
        <v>0</v>
      </c>
      <c r="M44" s="826">
        <f t="shared" ref="M44:N44" si="7">SUM(M31:M43)/13</f>
        <v>0</v>
      </c>
      <c r="N44" s="826">
        <f t="shared" si="7"/>
        <v>0</v>
      </c>
    </row>
    <row r="45" spans="1:16" ht="14.25" thickTop="1" thickBot="1"/>
    <row r="46" spans="1:16" s="1076" customFormat="1" ht="15.75" thickBot="1">
      <c r="A46" s="1077"/>
      <c r="C46" s="2038" t="s">
        <v>984</v>
      </c>
      <c r="D46" s="2039"/>
      <c r="E46" s="2039"/>
      <c r="F46" s="2039"/>
      <c r="G46" s="2039"/>
      <c r="H46" s="2040"/>
    </row>
    <row r="47" spans="1:16" ht="25.5">
      <c r="A47" s="1078" t="s">
        <v>613</v>
      </c>
      <c r="B47" s="812" t="s">
        <v>211</v>
      </c>
      <c r="C47" s="812" t="s">
        <v>678</v>
      </c>
      <c r="D47" s="812" t="s">
        <v>275</v>
      </c>
      <c r="E47" s="812" t="s">
        <v>192</v>
      </c>
      <c r="F47" s="812" t="s">
        <v>478</v>
      </c>
      <c r="G47" s="1080" t="s">
        <v>928</v>
      </c>
      <c r="H47" s="1080" t="s">
        <v>929</v>
      </c>
    </row>
    <row r="48" spans="1:16">
      <c r="A48" s="1075"/>
      <c r="B48" s="810" t="s">
        <v>619</v>
      </c>
      <c r="C48" s="810" t="s">
        <v>620</v>
      </c>
      <c r="D48" s="810" t="s">
        <v>621</v>
      </c>
      <c r="E48" s="812" t="s">
        <v>622</v>
      </c>
      <c r="F48" s="810" t="s">
        <v>623</v>
      </c>
      <c r="G48" s="810" t="s">
        <v>624</v>
      </c>
      <c r="H48" s="812" t="s">
        <v>625</v>
      </c>
    </row>
    <row r="49" spans="1:8">
      <c r="A49" s="1075"/>
      <c r="B49" s="1079" t="s">
        <v>682</v>
      </c>
      <c r="C49" s="806">
        <v>9</v>
      </c>
      <c r="D49" s="806">
        <v>30</v>
      </c>
      <c r="E49" s="806">
        <v>31</v>
      </c>
      <c r="F49" s="806">
        <v>32</v>
      </c>
      <c r="G49" s="806">
        <v>12</v>
      </c>
      <c r="H49" s="806">
        <v>11</v>
      </c>
    </row>
    <row r="50" spans="1:8">
      <c r="A50" s="1075"/>
      <c r="B50" s="810"/>
      <c r="C50" s="820" t="s">
        <v>1100</v>
      </c>
      <c r="D50" s="820" t="s">
        <v>1101</v>
      </c>
      <c r="E50" s="820" t="s">
        <v>1102</v>
      </c>
      <c r="F50" s="820" t="s">
        <v>1103</v>
      </c>
      <c r="G50" s="820" t="s">
        <v>1105</v>
      </c>
      <c r="H50" s="820" t="s">
        <v>1104</v>
      </c>
    </row>
    <row r="51" spans="1:8">
      <c r="A51" s="1075">
        <v>29</v>
      </c>
      <c r="B51" s="823" t="s">
        <v>635</v>
      </c>
      <c r="C51" s="824">
        <f t="shared" ref="C51:C63" si="8">+C31-I31</f>
        <v>3189270614.5100002</v>
      </c>
      <c r="D51" s="824">
        <f t="shared" ref="D51:D63" si="9">+D31-J31</f>
        <v>529881202</v>
      </c>
      <c r="E51" s="824">
        <f t="shared" ref="E51:E63" si="10">+E31-K31</f>
        <v>128866187</v>
      </c>
      <c r="F51" s="824">
        <f t="shared" ref="F51:F63" si="11">+F31-L31</f>
        <v>39732242.329999998</v>
      </c>
      <c r="G51" s="824">
        <v>0</v>
      </c>
      <c r="H51" s="824">
        <v>0</v>
      </c>
    </row>
    <row r="52" spans="1:8">
      <c r="A52" s="1075">
        <v>30</v>
      </c>
      <c r="B52" s="823" t="s">
        <v>636</v>
      </c>
      <c r="C52" s="824">
        <f t="shared" si="8"/>
        <v>3198250763.1900001</v>
      </c>
      <c r="D52" s="824">
        <f t="shared" si="9"/>
        <v>531012709</v>
      </c>
      <c r="E52" s="824">
        <f t="shared" si="10"/>
        <v>130581171.78</v>
      </c>
      <c r="F52" s="824">
        <f t="shared" si="11"/>
        <v>41005745.219999999</v>
      </c>
      <c r="G52" s="824">
        <f t="shared" ref="G52:H62" si="12">+G32-M32</f>
        <v>0</v>
      </c>
      <c r="H52" s="824">
        <f t="shared" si="12"/>
        <v>0</v>
      </c>
    </row>
    <row r="53" spans="1:8">
      <c r="A53" s="1075">
        <v>31</v>
      </c>
      <c r="B53" s="802" t="s">
        <v>637</v>
      </c>
      <c r="C53" s="824">
        <f t="shared" si="8"/>
        <v>3214311174.6200004</v>
      </c>
      <c r="D53" s="824">
        <f t="shared" si="9"/>
        <v>532809339</v>
      </c>
      <c r="E53" s="824">
        <f t="shared" si="10"/>
        <v>131598939.3</v>
      </c>
      <c r="F53" s="824">
        <f t="shared" si="11"/>
        <v>42289960.700000003</v>
      </c>
      <c r="G53" s="824">
        <f t="shared" si="12"/>
        <v>0</v>
      </c>
      <c r="H53" s="824">
        <f t="shared" si="12"/>
        <v>0</v>
      </c>
    </row>
    <row r="54" spans="1:8">
      <c r="A54" s="1075">
        <v>32</v>
      </c>
      <c r="B54" s="802" t="s">
        <v>638</v>
      </c>
      <c r="C54" s="824">
        <f t="shared" si="8"/>
        <v>3233631211.3900003</v>
      </c>
      <c r="D54" s="824">
        <f t="shared" si="9"/>
        <v>535175134</v>
      </c>
      <c r="E54" s="824">
        <f t="shared" si="10"/>
        <v>132625554.78</v>
      </c>
      <c r="F54" s="824">
        <f t="shared" si="11"/>
        <v>43602892.219999999</v>
      </c>
      <c r="G54" s="824">
        <f t="shared" si="12"/>
        <v>0</v>
      </c>
      <c r="H54" s="824">
        <f t="shared" si="12"/>
        <v>0</v>
      </c>
    </row>
    <row r="55" spans="1:8">
      <c r="A55" s="1075">
        <v>33</v>
      </c>
      <c r="B55" s="802" t="s">
        <v>213</v>
      </c>
      <c r="C55" s="824">
        <f t="shared" si="8"/>
        <v>3240422261.2000003</v>
      </c>
      <c r="D55" s="824">
        <f t="shared" si="9"/>
        <v>535906434</v>
      </c>
      <c r="E55" s="824">
        <f t="shared" si="10"/>
        <v>133418112.3</v>
      </c>
      <c r="F55" s="824">
        <f t="shared" si="11"/>
        <v>44933024.700000003</v>
      </c>
      <c r="G55" s="824">
        <f t="shared" si="12"/>
        <v>0</v>
      </c>
      <c r="H55" s="824">
        <f t="shared" si="12"/>
        <v>0</v>
      </c>
    </row>
    <row r="56" spans="1:8">
      <c r="A56" s="1075">
        <v>34</v>
      </c>
      <c r="B56" s="802" t="s">
        <v>214</v>
      </c>
      <c r="C56" s="824">
        <f t="shared" si="8"/>
        <v>3253340853.6500001</v>
      </c>
      <c r="D56" s="824">
        <f t="shared" si="9"/>
        <v>537982092</v>
      </c>
      <c r="E56" s="824">
        <f t="shared" si="10"/>
        <v>134655044.78</v>
      </c>
      <c r="F56" s="824">
        <f t="shared" si="11"/>
        <v>46270422.219999999</v>
      </c>
      <c r="G56" s="824">
        <f t="shared" si="12"/>
        <v>0</v>
      </c>
      <c r="H56" s="824">
        <f t="shared" si="12"/>
        <v>0</v>
      </c>
    </row>
    <row r="57" spans="1:8">
      <c r="A57" s="1075">
        <v>35</v>
      </c>
      <c r="B57" s="802" t="s">
        <v>215</v>
      </c>
      <c r="C57" s="824">
        <f t="shared" si="8"/>
        <v>3270883941.98</v>
      </c>
      <c r="D57" s="824">
        <f t="shared" si="9"/>
        <v>541133209</v>
      </c>
      <c r="E57" s="824">
        <f t="shared" si="10"/>
        <v>135791046.30000001</v>
      </c>
      <c r="F57" s="824">
        <f t="shared" si="11"/>
        <v>47679419.700000003</v>
      </c>
      <c r="G57" s="824">
        <f t="shared" si="12"/>
        <v>0</v>
      </c>
      <c r="H57" s="824">
        <f t="shared" si="12"/>
        <v>0</v>
      </c>
    </row>
    <row r="58" spans="1:8">
      <c r="A58" s="1075">
        <v>36</v>
      </c>
      <c r="B58" s="802" t="s">
        <v>639</v>
      </c>
      <c r="C58" s="824">
        <f t="shared" si="8"/>
        <v>3275336007.0400004</v>
      </c>
      <c r="D58" s="824">
        <f t="shared" si="9"/>
        <v>544002905</v>
      </c>
      <c r="E58" s="824">
        <f>+E38-K38</f>
        <v>136699532.78</v>
      </c>
      <c r="F58" s="824">
        <f t="shared" si="11"/>
        <v>48918241.219999999</v>
      </c>
      <c r="G58" s="824">
        <f t="shared" si="12"/>
        <v>0</v>
      </c>
      <c r="H58" s="824">
        <f t="shared" si="12"/>
        <v>0</v>
      </c>
    </row>
    <row r="59" spans="1:8">
      <c r="A59" s="1075">
        <v>37</v>
      </c>
      <c r="B59" s="802" t="s">
        <v>640</v>
      </c>
      <c r="C59" s="824">
        <f t="shared" si="8"/>
        <v>3291698395.5900002</v>
      </c>
      <c r="D59" s="824">
        <f t="shared" si="9"/>
        <v>547990437</v>
      </c>
      <c r="E59" s="824">
        <f>+E39-K39</f>
        <v>137505351.30000001</v>
      </c>
      <c r="F59" s="824">
        <f t="shared" si="11"/>
        <v>50303522.700000003</v>
      </c>
      <c r="G59" s="824">
        <f t="shared" si="12"/>
        <v>0</v>
      </c>
      <c r="H59" s="824">
        <f t="shared" si="12"/>
        <v>0</v>
      </c>
    </row>
    <row r="60" spans="1:8">
      <c r="A60" s="1075">
        <v>38</v>
      </c>
      <c r="B60" s="802" t="s">
        <v>641</v>
      </c>
      <c r="C60" s="824">
        <f t="shared" si="8"/>
        <v>3313038352.4700003</v>
      </c>
      <c r="D60" s="824">
        <f t="shared" si="9"/>
        <v>550297814</v>
      </c>
      <c r="E60" s="824">
        <f>+E40-K40</f>
        <v>138493548.05000001</v>
      </c>
      <c r="F60" s="824">
        <f t="shared" si="11"/>
        <v>51735071.219999999</v>
      </c>
      <c r="G60" s="824">
        <f t="shared" si="12"/>
        <v>0</v>
      </c>
      <c r="H60" s="824">
        <f t="shared" si="12"/>
        <v>0</v>
      </c>
    </row>
    <row r="61" spans="1:8">
      <c r="A61" s="1075">
        <v>39</v>
      </c>
      <c r="B61" s="802" t="s">
        <v>642</v>
      </c>
      <c r="C61" s="824">
        <f t="shared" si="8"/>
        <v>3320349496.0100002</v>
      </c>
      <c r="D61" s="824">
        <f t="shared" si="9"/>
        <v>554542563</v>
      </c>
      <c r="E61" s="824">
        <f t="shared" si="10"/>
        <v>139978490.99000001</v>
      </c>
      <c r="F61" s="824">
        <f t="shared" si="11"/>
        <v>53286184.700000003</v>
      </c>
      <c r="G61" s="824">
        <f t="shared" si="12"/>
        <v>0</v>
      </c>
      <c r="H61" s="824">
        <f t="shared" si="12"/>
        <v>0</v>
      </c>
    </row>
    <row r="62" spans="1:8">
      <c r="A62" s="1075">
        <v>40</v>
      </c>
      <c r="B62" s="802" t="s">
        <v>643</v>
      </c>
      <c r="C62" s="824">
        <f t="shared" si="8"/>
        <v>3327144879.8600001</v>
      </c>
      <c r="D62" s="824">
        <f t="shared" si="9"/>
        <v>555038644</v>
      </c>
      <c r="E62" s="824">
        <f t="shared" si="10"/>
        <v>140595491.89000002</v>
      </c>
      <c r="F62" s="824">
        <f t="shared" si="11"/>
        <v>54952700.219999999</v>
      </c>
      <c r="G62" s="824">
        <f t="shared" si="12"/>
        <v>0</v>
      </c>
      <c r="H62" s="824">
        <f t="shared" si="12"/>
        <v>0</v>
      </c>
    </row>
    <row r="63" spans="1:8">
      <c r="A63" s="1075">
        <v>41</v>
      </c>
      <c r="B63" s="802" t="s">
        <v>644</v>
      </c>
      <c r="C63" s="824">
        <f t="shared" si="8"/>
        <v>3350498513.8699999</v>
      </c>
      <c r="D63" s="824">
        <f t="shared" si="9"/>
        <v>557309701</v>
      </c>
      <c r="E63" s="824">
        <f t="shared" si="10"/>
        <v>140232737.53</v>
      </c>
      <c r="F63" s="824">
        <f t="shared" si="11"/>
        <v>56749747</v>
      </c>
      <c r="G63" s="824">
        <v>0</v>
      </c>
      <c r="H63" s="824">
        <v>0</v>
      </c>
    </row>
    <row r="64" spans="1:8" ht="13.5" thickBot="1">
      <c r="A64" s="1075">
        <v>42</v>
      </c>
      <c r="B64" s="804" t="s">
        <v>645</v>
      </c>
      <c r="C64" s="826">
        <f t="shared" ref="C64:F64" si="13">SUM(C51:C63)/13</f>
        <v>3267552035.7984624</v>
      </c>
      <c r="D64" s="826">
        <f t="shared" si="13"/>
        <v>542544783.30769229</v>
      </c>
      <c r="E64" s="826">
        <f t="shared" si="13"/>
        <v>135464708.36769229</v>
      </c>
      <c r="F64" s="826">
        <f t="shared" si="13"/>
        <v>47804551.857692309</v>
      </c>
      <c r="G64" s="826">
        <f t="shared" ref="G64:H64" si="14">SUM(G51:G63)/13</f>
        <v>0</v>
      </c>
      <c r="H64" s="826">
        <f t="shared" si="14"/>
        <v>0</v>
      </c>
    </row>
    <row r="65" spans="1:2" ht="13.5" thickTop="1"/>
    <row r="68" spans="1:2">
      <c r="A68" s="805" t="s">
        <v>781</v>
      </c>
    </row>
    <row r="69" spans="1:2">
      <c r="A69" s="805" t="s">
        <v>9</v>
      </c>
      <c r="B69" s="1339" t="s">
        <v>1403</v>
      </c>
    </row>
    <row r="70" spans="1:2">
      <c r="A70" s="805"/>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topLeftCell="A134" zoomScale="90" zoomScaleNormal="90" workbookViewId="0">
      <selection activeCell="J164" sqref="J164"/>
    </sheetView>
  </sheetViews>
  <sheetFormatPr defaultRowHeight="15"/>
  <cols>
    <col min="1" max="1" width="6.140625" style="855" customWidth="1"/>
    <col min="2" max="2" width="79.7109375" style="855" customWidth="1"/>
    <col min="3" max="6" width="15" style="855" customWidth="1"/>
    <col min="7" max="7" width="14.140625" style="855" bestFit="1" customWidth="1"/>
    <col min="8" max="8" width="9.140625" style="855"/>
    <col min="9" max="9" width="17.7109375" style="855" bestFit="1" customWidth="1"/>
    <col min="10" max="10" width="16" style="855" bestFit="1" customWidth="1"/>
    <col min="11" max="11" width="9.140625" style="855"/>
    <col min="12" max="12" width="11.42578125" style="855" bestFit="1" customWidth="1"/>
    <col min="13" max="13" width="17.5703125" style="855" customWidth="1"/>
    <col min="14" max="16384" width="9.140625" style="855"/>
  </cols>
  <sheetData>
    <row r="1" spans="1:13" ht="18">
      <c r="A1" s="2044" t="s">
        <v>344</v>
      </c>
      <c r="B1" s="2044"/>
      <c r="C1" s="2044"/>
      <c r="D1" s="2044"/>
      <c r="E1" s="2044"/>
      <c r="F1" s="854"/>
      <c r="I1" s="1161"/>
    </row>
    <row r="2" spans="1:13" ht="20.25">
      <c r="A2" s="856"/>
      <c r="B2" s="857"/>
      <c r="C2" s="858"/>
      <c r="D2" s="854"/>
      <c r="E2" s="854"/>
      <c r="F2" s="854"/>
    </row>
    <row r="3" spans="1:13">
      <c r="A3" s="2045" t="s">
        <v>675</v>
      </c>
      <c r="B3" s="2045"/>
      <c r="C3" s="2045"/>
      <c r="D3" s="2045"/>
      <c r="E3" s="2045"/>
      <c r="F3" s="854"/>
    </row>
    <row r="4" spans="1:13" ht="15.75">
      <c r="B4" s="852" t="s">
        <v>619</v>
      </c>
      <c r="C4" s="852" t="s">
        <v>620</v>
      </c>
      <c r="D4" s="852" t="s">
        <v>621</v>
      </c>
      <c r="E4" s="852" t="s">
        <v>622</v>
      </c>
      <c r="F4" s="852" t="s">
        <v>669</v>
      </c>
      <c r="G4" s="852" t="s">
        <v>670</v>
      </c>
      <c r="H4" s="1156"/>
      <c r="I4" s="852"/>
      <c r="J4" s="852"/>
      <c r="K4" s="852"/>
      <c r="L4" s="852"/>
      <c r="M4" s="852"/>
    </row>
    <row r="5" spans="1:13">
      <c r="B5" s="859" t="s">
        <v>671</v>
      </c>
    </row>
    <row r="6" spans="1:13">
      <c r="B6" s="823" t="s">
        <v>672</v>
      </c>
      <c r="C6" s="860" t="s">
        <v>59</v>
      </c>
      <c r="D6" s="860" t="s">
        <v>887</v>
      </c>
      <c r="E6" s="861"/>
      <c r="F6" s="861"/>
      <c r="G6" s="862" t="s">
        <v>59</v>
      </c>
    </row>
    <row r="7" spans="1:13">
      <c r="A7" s="862">
        <v>1</v>
      </c>
      <c r="B7" s="863" t="s">
        <v>886</v>
      </c>
      <c r="C7" s="1140">
        <v>0</v>
      </c>
      <c r="D7" s="1189">
        <v>1</v>
      </c>
      <c r="E7" s="1068"/>
      <c r="F7" s="1068"/>
      <c r="G7" s="864">
        <f>+C7*D7</f>
        <v>0</v>
      </c>
      <c r="H7" s="862"/>
    </row>
    <row r="8" spans="1:13">
      <c r="A8" s="862">
        <v>2</v>
      </c>
      <c r="B8" s="863" t="s">
        <v>684</v>
      </c>
      <c r="C8" s="865">
        <v>-40274.989999999991</v>
      </c>
      <c r="D8" s="1189">
        <f>+'ATT H-9A'!H16</f>
        <v>0.10939366197352368</v>
      </c>
      <c r="E8" s="1068"/>
      <c r="F8" s="1068"/>
      <c r="G8" s="864">
        <f>+C8*D8</f>
        <v>-4405.8286420470458</v>
      </c>
      <c r="H8" s="862"/>
    </row>
    <row r="9" spans="1:13">
      <c r="A9" s="862">
        <v>3</v>
      </c>
      <c r="B9" s="863"/>
      <c r="C9" s="869"/>
      <c r="D9" s="1068"/>
      <c r="E9" s="1068"/>
      <c r="F9" s="1068"/>
      <c r="G9" s="864">
        <f t="shared" ref="G9" si="0">+C9*D9</f>
        <v>0</v>
      </c>
      <c r="H9" s="862"/>
    </row>
    <row r="10" spans="1:13">
      <c r="A10" s="862">
        <v>4</v>
      </c>
      <c r="B10" s="823" t="s">
        <v>59</v>
      </c>
      <c r="C10" s="864">
        <f>SUM(C7:C9)</f>
        <v>-40274.989999999991</v>
      </c>
      <c r="D10" s="864"/>
      <c r="E10" s="864"/>
      <c r="F10" s="864"/>
      <c r="G10" s="864">
        <f>SUM(G7:G9)</f>
        <v>-4405.8286420470458</v>
      </c>
      <c r="H10" s="862"/>
      <c r="L10" s="1349"/>
    </row>
    <row r="11" spans="1:13">
      <c r="A11" s="862">
        <v>5</v>
      </c>
      <c r="B11" s="1087"/>
      <c r="C11" s="1087"/>
      <c r="D11" s="1087"/>
      <c r="E11" s="1087"/>
      <c r="F11" s="1087"/>
      <c r="G11" s="1087"/>
      <c r="H11" s="862"/>
      <c r="L11" s="1349"/>
    </row>
    <row r="12" spans="1:13">
      <c r="A12" s="862">
        <v>6</v>
      </c>
      <c r="B12" s="859" t="s">
        <v>931</v>
      </c>
      <c r="C12" s="1087"/>
      <c r="D12" s="1087"/>
      <c r="E12" s="1087"/>
      <c r="F12" s="1087"/>
      <c r="G12" s="1087"/>
      <c r="H12" s="862"/>
    </row>
    <row r="13" spans="1:13">
      <c r="A13" s="862">
        <v>7</v>
      </c>
      <c r="B13" s="823" t="s">
        <v>672</v>
      </c>
      <c r="C13" s="860" t="s">
        <v>59</v>
      </c>
      <c r="D13" s="860" t="s">
        <v>887</v>
      </c>
      <c r="E13" s="1088"/>
      <c r="F13" s="1088"/>
      <c r="G13" s="862" t="s">
        <v>59</v>
      </c>
      <c r="H13" s="862"/>
    </row>
    <row r="14" spans="1:13">
      <c r="A14" s="862">
        <v>8</v>
      </c>
      <c r="B14" s="863" t="s">
        <v>932</v>
      </c>
      <c r="C14" s="865">
        <f>+C86</f>
        <v>34310.354900799961</v>
      </c>
      <c r="D14" s="1189">
        <f>+'ATT H-9A'!H16</f>
        <v>0.10939366197352368</v>
      </c>
      <c r="E14" s="1090"/>
      <c r="F14" s="1090"/>
      <c r="G14" s="1091">
        <f>+C14*D14</f>
        <v>3753.3353662097425</v>
      </c>
      <c r="H14" s="862"/>
    </row>
    <row r="15" spans="1:13">
      <c r="A15" s="862">
        <v>9</v>
      </c>
      <c r="B15" s="863" t="s">
        <v>933</v>
      </c>
      <c r="C15" s="865">
        <f>+D86</f>
        <v>370777.70999999973</v>
      </c>
      <c r="D15" s="1189">
        <f>+'ATT H-9A'!H16</f>
        <v>0.10939366197352368</v>
      </c>
      <c r="E15" s="1090"/>
      <c r="F15" s="1090"/>
      <c r="G15" s="1091">
        <f>+C15*D15</f>
        <v>40560.73147505716</v>
      </c>
      <c r="H15" s="862"/>
    </row>
    <row r="16" spans="1:13">
      <c r="A16" s="862">
        <v>10</v>
      </c>
      <c r="B16" s="863"/>
      <c r="C16" s="1089"/>
      <c r="D16" s="1090"/>
      <c r="E16" s="1090"/>
      <c r="F16" s="1090"/>
      <c r="G16" s="1091">
        <f t="shared" ref="G16" si="1">+C16*D16</f>
        <v>0</v>
      </c>
      <c r="H16" s="862"/>
    </row>
    <row r="17" spans="1:9">
      <c r="A17" s="862">
        <v>11</v>
      </c>
      <c r="B17" s="823" t="s">
        <v>59</v>
      </c>
      <c r="C17" s="864">
        <f>SUM(C14:C16)</f>
        <v>405088.06490079971</v>
      </c>
      <c r="D17" s="1091"/>
      <c r="E17" s="1091"/>
      <c r="F17" s="1091"/>
      <c r="G17" s="1091">
        <f>SUM(G14:G16)</f>
        <v>44314.066841266904</v>
      </c>
      <c r="H17" s="862"/>
    </row>
    <row r="18" spans="1:9" ht="16.5">
      <c r="A18" s="849"/>
      <c r="B18" s="823"/>
      <c r="C18" s="864"/>
      <c r="D18" s="864"/>
      <c r="E18" s="864"/>
      <c r="F18" s="864"/>
      <c r="G18" s="864"/>
      <c r="H18" s="862"/>
    </row>
    <row r="19" spans="1:9" ht="16.5">
      <c r="A19" s="850"/>
      <c r="B19" s="859" t="s">
        <v>988</v>
      </c>
      <c r="C19" s="1092" t="s">
        <v>277</v>
      </c>
      <c r="D19" s="1092" t="s">
        <v>923</v>
      </c>
      <c r="H19" s="862"/>
    </row>
    <row r="20" spans="1:9">
      <c r="B20" s="859" t="s">
        <v>667</v>
      </c>
      <c r="C20" s="823"/>
      <c r="D20" s="823"/>
      <c r="E20" s="823"/>
      <c r="F20" s="823"/>
      <c r="G20" s="862" t="s">
        <v>59</v>
      </c>
    </row>
    <row r="21" spans="1:9" ht="15.75">
      <c r="A21" s="862">
        <v>12</v>
      </c>
      <c r="B21" s="823" t="s">
        <v>635</v>
      </c>
      <c r="C21" s="865">
        <f>2115776*$C$14/$C$17</f>
        <v>179203.07148118998</v>
      </c>
      <c r="D21" s="865">
        <f>2115776*$C$15/$C$17</f>
        <v>1936572.9285188101</v>
      </c>
      <c r="E21" s="866"/>
      <c r="F21" s="866"/>
      <c r="G21" s="864">
        <f t="shared" ref="G21:G33" si="2">SUM(C21:F21)</f>
        <v>2115776</v>
      </c>
      <c r="H21" s="862"/>
      <c r="I21" s="422"/>
    </row>
    <row r="22" spans="1:9" ht="15.75">
      <c r="A22" s="862">
        <v>13</v>
      </c>
      <c r="B22" s="823" t="s">
        <v>636</v>
      </c>
      <c r="C22" s="865">
        <f>2115776*$C$14/$C$17</f>
        <v>179203.07148118998</v>
      </c>
      <c r="D22" s="865">
        <f t="shared" ref="D22:D33" si="3">2115776*$C$15/$C$17</f>
        <v>1936572.9285188101</v>
      </c>
      <c r="E22" s="866"/>
      <c r="F22" s="866"/>
      <c r="G22" s="864">
        <f t="shared" si="2"/>
        <v>2115776</v>
      </c>
      <c r="H22" s="862"/>
      <c r="I22" s="422"/>
    </row>
    <row r="23" spans="1:9" ht="15.75">
      <c r="A23" s="862">
        <v>14</v>
      </c>
      <c r="B23" s="823" t="s">
        <v>637</v>
      </c>
      <c r="C23" s="865">
        <f t="shared" ref="C23:C33" si="4">2115776*$C$14/$C$17</f>
        <v>179203.07148118998</v>
      </c>
      <c r="D23" s="865">
        <f t="shared" si="3"/>
        <v>1936572.9285188101</v>
      </c>
      <c r="E23" s="866"/>
      <c r="F23" s="866"/>
      <c r="G23" s="864">
        <f t="shared" si="2"/>
        <v>2115776</v>
      </c>
      <c r="H23" s="862"/>
      <c r="I23" s="422"/>
    </row>
    <row r="24" spans="1:9" ht="15.75">
      <c r="A24" s="862">
        <v>15</v>
      </c>
      <c r="B24" s="823" t="s">
        <v>638</v>
      </c>
      <c r="C24" s="865">
        <f t="shared" si="4"/>
        <v>179203.07148118998</v>
      </c>
      <c r="D24" s="865">
        <f t="shared" si="3"/>
        <v>1936572.9285188101</v>
      </c>
      <c r="E24" s="866"/>
      <c r="F24" s="866"/>
      <c r="G24" s="864">
        <f t="shared" si="2"/>
        <v>2115776</v>
      </c>
      <c r="H24" s="862"/>
      <c r="I24" s="422"/>
    </row>
    <row r="25" spans="1:9" ht="15.75">
      <c r="A25" s="862">
        <v>16</v>
      </c>
      <c r="B25" s="823" t="s">
        <v>213</v>
      </c>
      <c r="C25" s="865">
        <f t="shared" si="4"/>
        <v>179203.07148118998</v>
      </c>
      <c r="D25" s="865">
        <f t="shared" si="3"/>
        <v>1936572.9285188101</v>
      </c>
      <c r="E25" s="866"/>
      <c r="F25" s="866"/>
      <c r="G25" s="864">
        <f t="shared" si="2"/>
        <v>2115776</v>
      </c>
      <c r="H25" s="862"/>
      <c r="I25" s="422"/>
    </row>
    <row r="26" spans="1:9" ht="15.75">
      <c r="A26" s="862">
        <v>17</v>
      </c>
      <c r="B26" s="823" t="s">
        <v>214</v>
      </c>
      <c r="C26" s="865">
        <f t="shared" si="4"/>
        <v>179203.07148118998</v>
      </c>
      <c r="D26" s="865">
        <f t="shared" si="3"/>
        <v>1936572.9285188101</v>
      </c>
      <c r="E26" s="866"/>
      <c r="F26" s="866"/>
      <c r="G26" s="864">
        <f t="shared" si="2"/>
        <v>2115776</v>
      </c>
      <c r="H26" s="862"/>
      <c r="I26" s="422"/>
    </row>
    <row r="27" spans="1:9" ht="15.75">
      <c r="A27" s="862">
        <v>18</v>
      </c>
      <c r="B27" s="823" t="s">
        <v>215</v>
      </c>
      <c r="C27" s="865">
        <f t="shared" si="4"/>
        <v>179203.07148118998</v>
      </c>
      <c r="D27" s="865">
        <f t="shared" si="3"/>
        <v>1936572.9285188101</v>
      </c>
      <c r="E27" s="866"/>
      <c r="F27" s="866"/>
      <c r="G27" s="864">
        <f t="shared" si="2"/>
        <v>2115776</v>
      </c>
      <c r="H27" s="862"/>
      <c r="I27" s="422"/>
    </row>
    <row r="28" spans="1:9" ht="15.75">
      <c r="A28" s="862">
        <v>19</v>
      </c>
      <c r="B28" s="823" t="s">
        <v>639</v>
      </c>
      <c r="C28" s="865">
        <f t="shared" si="4"/>
        <v>179203.07148118998</v>
      </c>
      <c r="D28" s="865">
        <f t="shared" si="3"/>
        <v>1936572.9285188101</v>
      </c>
      <c r="E28" s="866"/>
      <c r="F28" s="866"/>
      <c r="G28" s="864">
        <f t="shared" si="2"/>
        <v>2115776</v>
      </c>
      <c r="H28" s="862"/>
      <c r="I28" s="422"/>
    </row>
    <row r="29" spans="1:9" ht="15.75">
      <c r="A29" s="862">
        <v>20</v>
      </c>
      <c r="B29" s="823" t="s">
        <v>640</v>
      </c>
      <c r="C29" s="865">
        <f t="shared" si="4"/>
        <v>179203.07148118998</v>
      </c>
      <c r="D29" s="865">
        <f t="shared" si="3"/>
        <v>1936572.9285188101</v>
      </c>
      <c r="E29" s="866"/>
      <c r="F29" s="866"/>
      <c r="G29" s="864">
        <f t="shared" si="2"/>
        <v>2115776</v>
      </c>
      <c r="H29" s="862"/>
      <c r="I29" s="422"/>
    </row>
    <row r="30" spans="1:9" ht="15.75">
      <c r="A30" s="862">
        <v>21</v>
      </c>
      <c r="B30" s="823" t="s">
        <v>641</v>
      </c>
      <c r="C30" s="865">
        <f t="shared" si="4"/>
        <v>179203.07148118998</v>
      </c>
      <c r="D30" s="865">
        <f t="shared" si="3"/>
        <v>1936572.9285188101</v>
      </c>
      <c r="E30" s="866"/>
      <c r="F30" s="866"/>
      <c r="G30" s="864">
        <f t="shared" si="2"/>
        <v>2115776</v>
      </c>
      <c r="H30" s="862"/>
      <c r="I30" s="422"/>
    </row>
    <row r="31" spans="1:9" ht="15.75">
      <c r="A31" s="862">
        <v>22</v>
      </c>
      <c r="B31" s="823" t="s">
        <v>642</v>
      </c>
      <c r="C31" s="865">
        <f t="shared" si="4"/>
        <v>179203.07148118998</v>
      </c>
      <c r="D31" s="865">
        <f t="shared" si="3"/>
        <v>1936572.9285188101</v>
      </c>
      <c r="E31" s="866"/>
      <c r="F31" s="866"/>
      <c r="G31" s="864">
        <f t="shared" si="2"/>
        <v>2115776</v>
      </c>
      <c r="H31" s="862"/>
      <c r="I31" s="422"/>
    </row>
    <row r="32" spans="1:9" ht="15.75">
      <c r="A32" s="862">
        <v>23</v>
      </c>
      <c r="B32" s="823" t="s">
        <v>643</v>
      </c>
      <c r="C32" s="865">
        <f t="shared" si="4"/>
        <v>179203.07148118998</v>
      </c>
      <c r="D32" s="865">
        <f t="shared" si="3"/>
        <v>1936572.9285188101</v>
      </c>
      <c r="E32" s="866"/>
      <c r="F32" s="866"/>
      <c r="G32" s="864">
        <f t="shared" si="2"/>
        <v>2115776</v>
      </c>
      <c r="H32" s="862"/>
      <c r="I32" s="422"/>
    </row>
    <row r="33" spans="1:9" ht="15.75">
      <c r="A33" s="862">
        <v>24</v>
      </c>
      <c r="B33" s="823" t="s">
        <v>644</v>
      </c>
      <c r="C33" s="865">
        <f t="shared" si="4"/>
        <v>179203.07148118998</v>
      </c>
      <c r="D33" s="865">
        <f t="shared" si="3"/>
        <v>1936572.9285188101</v>
      </c>
      <c r="E33" s="866"/>
      <c r="F33" s="866"/>
      <c r="G33" s="864">
        <f t="shared" si="2"/>
        <v>2115776</v>
      </c>
      <c r="H33" s="862"/>
      <c r="I33" s="422"/>
    </row>
    <row r="34" spans="1:9" ht="15.75">
      <c r="A34" s="862">
        <v>25</v>
      </c>
      <c r="B34" s="823" t="s">
        <v>666</v>
      </c>
      <c r="C34" s="867">
        <f>AVERAGE(C21:C33)</f>
        <v>179203.07148118998</v>
      </c>
      <c r="D34" s="867">
        <f>AVERAGE(D21:D33)</f>
        <v>1936572.9285188096</v>
      </c>
      <c r="E34" s="867"/>
      <c r="F34" s="867"/>
      <c r="G34" s="867">
        <f>AVERAGE(G21:G33)</f>
        <v>2115776</v>
      </c>
      <c r="H34" s="862"/>
      <c r="I34" s="422"/>
    </row>
    <row r="35" spans="1:9" ht="15.75">
      <c r="A35" s="862"/>
      <c r="B35" s="823"/>
      <c r="C35" s="867"/>
      <c r="D35" s="867"/>
      <c r="E35" s="867"/>
      <c r="I35" s="422"/>
    </row>
    <row r="36" spans="1:9" ht="15.75">
      <c r="I36" s="422"/>
    </row>
    <row r="37" spans="1:9" ht="15.75">
      <c r="B37" s="859" t="s">
        <v>88</v>
      </c>
      <c r="C37" s="1092" t="s">
        <v>277</v>
      </c>
      <c r="D37" s="1092" t="s">
        <v>923</v>
      </c>
      <c r="E37" s="823"/>
      <c r="F37" s="823"/>
      <c r="G37" s="862" t="s">
        <v>59</v>
      </c>
      <c r="I37" s="422"/>
    </row>
    <row r="38" spans="1:9" ht="15.75">
      <c r="A38" s="862">
        <v>26</v>
      </c>
      <c r="B38" s="823" t="s">
        <v>635</v>
      </c>
      <c r="C38" s="865">
        <v>60913.019333766679</v>
      </c>
      <c r="D38" s="1067">
        <v>746138.09000000032</v>
      </c>
      <c r="E38" s="866"/>
      <c r="F38" s="866"/>
      <c r="G38" s="864">
        <f t="shared" ref="G38:G50" si="5">SUM(C38:F38)</f>
        <v>807051.10933376697</v>
      </c>
      <c r="H38" s="862"/>
      <c r="I38" s="422"/>
    </row>
    <row r="39" spans="1:9" ht="15.75">
      <c r="A39" s="862">
        <v>27</v>
      </c>
      <c r="B39" s="823" t="s">
        <v>636</v>
      </c>
      <c r="C39" s="865">
        <v>63772.215575500013</v>
      </c>
      <c r="D39" s="1067">
        <v>776641.77999999991</v>
      </c>
      <c r="E39" s="866"/>
      <c r="F39" s="866"/>
      <c r="G39" s="864">
        <f t="shared" si="5"/>
        <v>840413.99557549995</v>
      </c>
      <c r="H39" s="862"/>
      <c r="I39" s="422"/>
    </row>
    <row r="40" spans="1:9" ht="15.75">
      <c r="A40" s="862">
        <v>28</v>
      </c>
      <c r="B40" s="823" t="s">
        <v>637</v>
      </c>
      <c r="C40" s="865">
        <v>66631.41181723334</v>
      </c>
      <c r="D40" s="1067">
        <v>807145.35999999987</v>
      </c>
      <c r="E40" s="866"/>
      <c r="F40" s="866"/>
      <c r="G40" s="864">
        <f t="shared" si="5"/>
        <v>873776.77181723318</v>
      </c>
      <c r="H40" s="862"/>
      <c r="I40" s="422"/>
    </row>
    <row r="41" spans="1:9" ht="15.75">
      <c r="A41" s="862">
        <v>29</v>
      </c>
      <c r="B41" s="823" t="s">
        <v>638</v>
      </c>
      <c r="C41" s="865">
        <v>69490.608058966667</v>
      </c>
      <c r="D41" s="1067">
        <v>837648.93999999983</v>
      </c>
      <c r="E41" s="866"/>
      <c r="F41" s="866"/>
      <c r="G41" s="864">
        <f t="shared" si="5"/>
        <v>907139.54805896652</v>
      </c>
      <c r="H41" s="862"/>
      <c r="I41" s="422"/>
    </row>
    <row r="42" spans="1:9" ht="15.75">
      <c r="A42" s="862">
        <v>30</v>
      </c>
      <c r="B42" s="823" t="s">
        <v>213</v>
      </c>
      <c r="C42" s="865">
        <v>72349.804300699994</v>
      </c>
      <c r="D42" s="1067">
        <v>868152.51999999979</v>
      </c>
      <c r="E42" s="866"/>
      <c r="F42" s="866"/>
      <c r="G42" s="864">
        <f t="shared" si="5"/>
        <v>940502.32430069975</v>
      </c>
      <c r="H42" s="862"/>
      <c r="I42" s="422"/>
    </row>
    <row r="43" spans="1:9" ht="15.75">
      <c r="A43" s="862">
        <v>31</v>
      </c>
      <c r="B43" s="823" t="s">
        <v>214</v>
      </c>
      <c r="C43" s="865">
        <v>75209.000542433321</v>
      </c>
      <c r="D43" s="1067">
        <v>898656.09999999974</v>
      </c>
      <c r="E43" s="866"/>
      <c r="F43" s="866"/>
      <c r="G43" s="864">
        <f t="shared" si="5"/>
        <v>973865.10054243309</v>
      </c>
      <c r="H43" s="862"/>
      <c r="I43" s="422"/>
    </row>
    <row r="44" spans="1:9" ht="15.75">
      <c r="A44" s="862">
        <v>32</v>
      </c>
      <c r="B44" s="823" t="s">
        <v>215</v>
      </c>
      <c r="C44" s="865">
        <v>78068.196784166648</v>
      </c>
      <c r="D44" s="1067">
        <v>929247.55999999994</v>
      </c>
      <c r="E44" s="866"/>
      <c r="F44" s="866"/>
      <c r="G44" s="864">
        <f t="shared" si="5"/>
        <v>1007315.7567841666</v>
      </c>
      <c r="H44" s="862"/>
      <c r="I44" s="422"/>
    </row>
    <row r="45" spans="1:9" ht="15.75">
      <c r="A45" s="862">
        <v>33</v>
      </c>
      <c r="B45" s="823" t="s">
        <v>639</v>
      </c>
      <c r="C45" s="865">
        <v>80927.393025899975</v>
      </c>
      <c r="D45" s="1067">
        <v>959839.04999999993</v>
      </c>
      <c r="E45" s="866"/>
      <c r="F45" s="866"/>
      <c r="G45" s="864">
        <f t="shared" si="5"/>
        <v>1040766.4430258999</v>
      </c>
      <c r="H45" s="862"/>
      <c r="I45" s="422"/>
    </row>
    <row r="46" spans="1:9" ht="15.75">
      <c r="A46" s="862">
        <v>34</v>
      </c>
      <c r="B46" s="823" t="s">
        <v>640</v>
      </c>
      <c r="C46" s="865">
        <v>83786.589267633302</v>
      </c>
      <c r="D46" s="1067">
        <v>991254.39999999991</v>
      </c>
      <c r="E46" s="866"/>
      <c r="F46" s="866"/>
      <c r="G46" s="864">
        <f t="shared" si="5"/>
        <v>1075040.9892676333</v>
      </c>
      <c r="H46" s="862"/>
      <c r="I46" s="422"/>
    </row>
    <row r="47" spans="1:9" ht="15.75">
      <c r="A47" s="862">
        <v>35</v>
      </c>
      <c r="B47" s="823" t="s">
        <v>641</v>
      </c>
      <c r="C47" s="865">
        <v>86645.785509366629</v>
      </c>
      <c r="D47" s="1067">
        <v>1022669.7499999999</v>
      </c>
      <c r="E47" s="866"/>
      <c r="F47" s="866"/>
      <c r="G47" s="864">
        <f t="shared" si="5"/>
        <v>1109315.5355093665</v>
      </c>
      <c r="H47" s="862"/>
      <c r="I47" s="422"/>
    </row>
    <row r="48" spans="1:9" ht="15.75">
      <c r="A48" s="862">
        <v>36</v>
      </c>
      <c r="B48" s="823" t="s">
        <v>642</v>
      </c>
      <c r="C48" s="865">
        <v>89504.981751099956</v>
      </c>
      <c r="D48" s="1067">
        <v>1054085.0999999999</v>
      </c>
      <c r="E48" s="866"/>
      <c r="F48" s="866"/>
      <c r="G48" s="864">
        <f t="shared" si="5"/>
        <v>1143590.0817510998</v>
      </c>
      <c r="H48" s="862"/>
      <c r="I48" s="422"/>
    </row>
    <row r="49" spans="1:9" ht="15.75">
      <c r="A49" s="862">
        <v>37</v>
      </c>
      <c r="B49" s="823" t="s">
        <v>643</v>
      </c>
      <c r="C49" s="865">
        <v>92364.177992833283</v>
      </c>
      <c r="D49" s="1067">
        <v>1085500.45</v>
      </c>
      <c r="E49" s="866"/>
      <c r="F49" s="866"/>
      <c r="G49" s="864">
        <f t="shared" si="5"/>
        <v>1177864.6279928333</v>
      </c>
      <c r="H49" s="862"/>
      <c r="I49" s="422"/>
    </row>
    <row r="50" spans="1:9" ht="15.75">
      <c r="A50" s="862">
        <v>38</v>
      </c>
      <c r="B50" s="823" t="s">
        <v>644</v>
      </c>
      <c r="C50" s="865">
        <v>95223.37423456664</v>
      </c>
      <c r="D50" s="1067">
        <v>1116915.8</v>
      </c>
      <c r="E50" s="866"/>
      <c r="F50" s="866"/>
      <c r="G50" s="864">
        <f t="shared" si="5"/>
        <v>1212139.1742345667</v>
      </c>
      <c r="H50" s="862"/>
      <c r="I50" s="422"/>
    </row>
    <row r="51" spans="1:9" ht="15.75">
      <c r="A51" s="862">
        <v>39</v>
      </c>
      <c r="B51" s="823" t="s">
        <v>666</v>
      </c>
      <c r="C51" s="867">
        <f>AVERAGE(C38:C50)</f>
        <v>78068.196784166648</v>
      </c>
      <c r="D51" s="867">
        <f>AVERAGE(D38:D50)</f>
        <v>930299.60769230756</v>
      </c>
      <c r="E51" s="867"/>
      <c r="F51" s="867"/>
      <c r="G51" s="867">
        <f>AVERAGE(G38:G50)</f>
        <v>1008367.8044764743</v>
      </c>
      <c r="I51" s="422"/>
    </row>
    <row r="52" spans="1:9" ht="18">
      <c r="B52" s="2044" t="s">
        <v>344</v>
      </c>
      <c r="C52" s="2044"/>
      <c r="D52" s="2044"/>
      <c r="E52" s="2044"/>
      <c r="F52" s="2044"/>
    </row>
    <row r="53" spans="1:9" ht="20.25">
      <c r="A53" s="856"/>
      <c r="B53" s="857"/>
      <c r="C53" s="858"/>
      <c r="D53" s="854"/>
      <c r="E53" s="854"/>
      <c r="F53" s="854"/>
    </row>
    <row r="54" spans="1:9">
      <c r="A54" s="2045" t="s">
        <v>675</v>
      </c>
      <c r="B54" s="2045"/>
      <c r="C54" s="2045"/>
      <c r="D54" s="2045"/>
      <c r="E54" s="2045"/>
      <c r="F54" s="854"/>
    </row>
    <row r="55" spans="1:9" ht="15.75">
      <c r="B55" s="852" t="s">
        <v>619</v>
      </c>
      <c r="C55" s="852" t="s">
        <v>620</v>
      </c>
      <c r="D55" s="852" t="s">
        <v>621</v>
      </c>
      <c r="E55" s="852" t="s">
        <v>622</v>
      </c>
      <c r="F55" s="852" t="s">
        <v>669</v>
      </c>
      <c r="G55" s="852" t="s">
        <v>670</v>
      </c>
    </row>
    <row r="56" spans="1:9">
      <c r="A56" s="854"/>
      <c r="B56" s="859" t="s">
        <v>673</v>
      </c>
      <c r="C56" s="1092" t="s">
        <v>277</v>
      </c>
      <c r="D56" s="1092" t="s">
        <v>923</v>
      </c>
      <c r="E56" s="823"/>
      <c r="F56" s="823"/>
      <c r="G56" s="862" t="s">
        <v>59</v>
      </c>
    </row>
    <row r="57" spans="1:9">
      <c r="A57" s="862">
        <v>40</v>
      </c>
      <c r="B57" s="823" t="s">
        <v>635</v>
      </c>
      <c r="C57" s="867">
        <f>C21-C38</f>
        <v>118290.0521474233</v>
      </c>
      <c r="D57" s="867">
        <f>D21-D38</f>
        <v>1190434.8385188098</v>
      </c>
      <c r="E57" s="867">
        <f t="shared" ref="C57:F69" si="6">E21-E38</f>
        <v>0</v>
      </c>
      <c r="F57" s="867">
        <f t="shared" si="6"/>
        <v>0</v>
      </c>
      <c r="G57" s="864">
        <f t="shared" ref="G57:G69" si="7">SUM(C57:F57)</f>
        <v>1308724.8906662331</v>
      </c>
      <c r="H57" s="862"/>
    </row>
    <row r="58" spans="1:9">
      <c r="A58" s="862">
        <v>41</v>
      </c>
      <c r="B58" s="823" t="s">
        <v>636</v>
      </c>
      <c r="C58" s="867">
        <f t="shared" si="6"/>
        <v>115430.85590568997</v>
      </c>
      <c r="D58" s="867">
        <f t="shared" si="6"/>
        <v>1159931.14851881</v>
      </c>
      <c r="E58" s="867">
        <f t="shared" si="6"/>
        <v>0</v>
      </c>
      <c r="F58" s="867">
        <f t="shared" si="6"/>
        <v>0</v>
      </c>
      <c r="G58" s="864">
        <f t="shared" si="7"/>
        <v>1275362.0044245</v>
      </c>
      <c r="H58" s="862"/>
    </row>
    <row r="59" spans="1:9">
      <c r="A59" s="862">
        <v>42</v>
      </c>
      <c r="B59" s="823" t="s">
        <v>637</v>
      </c>
      <c r="C59" s="867">
        <f t="shared" si="6"/>
        <v>112571.65966395664</v>
      </c>
      <c r="D59" s="867">
        <f t="shared" si="6"/>
        <v>1129427.5685188102</v>
      </c>
      <c r="E59" s="867">
        <f t="shared" si="6"/>
        <v>0</v>
      </c>
      <c r="F59" s="867">
        <f t="shared" si="6"/>
        <v>0</v>
      </c>
      <c r="G59" s="864">
        <f t="shared" si="7"/>
        <v>1241999.2281827668</v>
      </c>
      <c r="H59" s="862"/>
    </row>
    <row r="60" spans="1:9">
      <c r="A60" s="862">
        <v>43</v>
      </c>
      <c r="B60" s="823" t="s">
        <v>638</v>
      </c>
      <c r="C60" s="867">
        <f t="shared" si="6"/>
        <v>109712.46342222331</v>
      </c>
      <c r="D60" s="867">
        <f t="shared" si="6"/>
        <v>1098923.9885188104</v>
      </c>
      <c r="E60" s="867">
        <f t="shared" si="6"/>
        <v>0</v>
      </c>
      <c r="F60" s="867">
        <f t="shared" si="6"/>
        <v>0</v>
      </c>
      <c r="G60" s="864">
        <f t="shared" si="7"/>
        <v>1208636.4519410336</v>
      </c>
      <c r="H60" s="862"/>
    </row>
    <row r="61" spans="1:9">
      <c r="A61" s="862">
        <v>44</v>
      </c>
      <c r="B61" s="823" t="s">
        <v>213</v>
      </c>
      <c r="C61" s="867">
        <f t="shared" si="6"/>
        <v>106853.26718048999</v>
      </c>
      <c r="D61" s="867">
        <f t="shared" si="6"/>
        <v>1068420.4085188103</v>
      </c>
      <c r="E61" s="867">
        <f t="shared" si="6"/>
        <v>0</v>
      </c>
      <c r="F61" s="867">
        <f t="shared" si="6"/>
        <v>0</v>
      </c>
      <c r="G61" s="864">
        <f t="shared" si="7"/>
        <v>1175273.6756993004</v>
      </c>
      <c r="H61" s="862"/>
    </row>
    <row r="62" spans="1:9">
      <c r="A62" s="862">
        <v>45</v>
      </c>
      <c r="B62" s="823" t="s">
        <v>214</v>
      </c>
      <c r="C62" s="867">
        <f t="shared" si="6"/>
        <v>103994.07093875666</v>
      </c>
      <c r="D62" s="867">
        <f t="shared" si="6"/>
        <v>1037916.8285188103</v>
      </c>
      <c r="E62" s="867">
        <f t="shared" si="6"/>
        <v>0</v>
      </c>
      <c r="F62" s="867">
        <f t="shared" si="6"/>
        <v>0</v>
      </c>
      <c r="G62" s="864">
        <f t="shared" si="7"/>
        <v>1141910.8994575669</v>
      </c>
      <c r="H62" s="862"/>
    </row>
    <row r="63" spans="1:9">
      <c r="A63" s="862">
        <v>46</v>
      </c>
      <c r="B63" s="823" t="s">
        <v>215</v>
      </c>
      <c r="C63" s="867">
        <f t="shared" si="6"/>
        <v>101134.87469702333</v>
      </c>
      <c r="D63" s="867">
        <f t="shared" si="6"/>
        <v>1007325.3685188101</v>
      </c>
      <c r="E63" s="867">
        <f t="shared" si="6"/>
        <v>0</v>
      </c>
      <c r="F63" s="867">
        <f t="shared" si="6"/>
        <v>0</v>
      </c>
      <c r="G63" s="864">
        <f t="shared" si="7"/>
        <v>1108460.2432158336</v>
      </c>
      <c r="H63" s="862"/>
    </row>
    <row r="64" spans="1:9">
      <c r="A64" s="862">
        <v>47</v>
      </c>
      <c r="B64" s="823" t="s">
        <v>639</v>
      </c>
      <c r="C64" s="867">
        <f t="shared" si="6"/>
        <v>98275.678455290006</v>
      </c>
      <c r="D64" s="867">
        <f t="shared" si="6"/>
        <v>976733.87851881015</v>
      </c>
      <c r="E64" s="867">
        <f t="shared" si="6"/>
        <v>0</v>
      </c>
      <c r="F64" s="867">
        <f t="shared" si="6"/>
        <v>0</v>
      </c>
      <c r="G64" s="864">
        <f t="shared" si="7"/>
        <v>1075009.5569741002</v>
      </c>
      <c r="H64" s="862"/>
    </row>
    <row r="65" spans="1:8">
      <c r="A65" s="862">
        <v>48</v>
      </c>
      <c r="B65" s="823" t="s">
        <v>640</v>
      </c>
      <c r="C65" s="867">
        <f t="shared" si="6"/>
        <v>95416.482213556679</v>
      </c>
      <c r="D65" s="867">
        <f t="shared" si="6"/>
        <v>945318.52851881017</v>
      </c>
      <c r="E65" s="867">
        <f t="shared" si="6"/>
        <v>0</v>
      </c>
      <c r="F65" s="867">
        <f t="shared" si="6"/>
        <v>0</v>
      </c>
      <c r="G65" s="864">
        <f t="shared" si="7"/>
        <v>1040735.0107323668</v>
      </c>
      <c r="H65" s="862"/>
    </row>
    <row r="66" spans="1:8">
      <c r="A66" s="862">
        <v>49</v>
      </c>
      <c r="B66" s="823" t="s">
        <v>641</v>
      </c>
      <c r="C66" s="867">
        <f t="shared" si="6"/>
        <v>92557.285971823352</v>
      </c>
      <c r="D66" s="867">
        <f t="shared" si="6"/>
        <v>913903.17851881019</v>
      </c>
      <c r="E66" s="867">
        <f t="shared" si="6"/>
        <v>0</v>
      </c>
      <c r="F66" s="867">
        <f t="shared" si="6"/>
        <v>0</v>
      </c>
      <c r="G66" s="864">
        <f t="shared" si="7"/>
        <v>1006460.4644906336</v>
      </c>
      <c r="H66" s="862"/>
    </row>
    <row r="67" spans="1:8">
      <c r="A67" s="862">
        <v>50</v>
      </c>
      <c r="B67" s="823" t="s">
        <v>642</v>
      </c>
      <c r="C67" s="867">
        <f t="shared" si="6"/>
        <v>89698.089730090025</v>
      </c>
      <c r="D67" s="867">
        <f t="shared" si="6"/>
        <v>882487.82851881022</v>
      </c>
      <c r="E67" s="867">
        <f t="shared" si="6"/>
        <v>0</v>
      </c>
      <c r="F67" s="867">
        <f t="shared" si="6"/>
        <v>0</v>
      </c>
      <c r="G67" s="864">
        <f t="shared" si="7"/>
        <v>972185.91824890021</v>
      </c>
      <c r="H67" s="862"/>
    </row>
    <row r="68" spans="1:8">
      <c r="A68" s="862">
        <v>51</v>
      </c>
      <c r="B68" s="823" t="s">
        <v>643</v>
      </c>
      <c r="C68" s="867">
        <f t="shared" si="6"/>
        <v>86838.893488356698</v>
      </c>
      <c r="D68" s="867">
        <f t="shared" si="6"/>
        <v>851072.47851881012</v>
      </c>
      <c r="E68" s="867">
        <f t="shared" si="6"/>
        <v>0</v>
      </c>
      <c r="F68" s="867">
        <f t="shared" si="6"/>
        <v>0</v>
      </c>
      <c r="G68" s="864">
        <f t="shared" si="7"/>
        <v>937911.37200716685</v>
      </c>
      <c r="H68" s="862"/>
    </row>
    <row r="69" spans="1:8">
      <c r="A69" s="862">
        <v>52</v>
      </c>
      <c r="B69" s="823" t="s">
        <v>644</v>
      </c>
      <c r="C69" s="867">
        <f t="shared" si="6"/>
        <v>83979.697246623342</v>
      </c>
      <c r="D69" s="867">
        <f t="shared" si="6"/>
        <v>819657.12851881003</v>
      </c>
      <c r="E69" s="867">
        <f t="shared" si="6"/>
        <v>0</v>
      </c>
      <c r="F69" s="867">
        <f t="shared" si="6"/>
        <v>0</v>
      </c>
      <c r="G69" s="864">
        <f t="shared" si="7"/>
        <v>903636.82576543337</v>
      </c>
      <c r="H69" s="862"/>
    </row>
    <row r="70" spans="1:8">
      <c r="A70" s="862">
        <v>53</v>
      </c>
      <c r="B70" s="823" t="s">
        <v>666</v>
      </c>
      <c r="C70" s="867">
        <f>AVERAGE(C57:C69)</f>
        <v>101134.87469702332</v>
      </c>
      <c r="D70" s="867">
        <f t="shared" ref="D70:F70" si="8">AVERAGE(D57:D69)</f>
        <v>1006273.3208265024</v>
      </c>
      <c r="E70" s="867">
        <f t="shared" si="8"/>
        <v>0</v>
      </c>
      <c r="F70" s="867">
        <f t="shared" si="8"/>
        <v>0</v>
      </c>
      <c r="G70" s="867">
        <f>AVERAGE(G57:G69)</f>
        <v>1107408.1955235256</v>
      </c>
      <c r="H70" s="862"/>
    </row>
    <row r="71" spans="1:8">
      <c r="A71" s="854"/>
    </row>
    <row r="72" spans="1:8">
      <c r="A72" s="854"/>
    </row>
    <row r="73" spans="1:8">
      <c r="A73" s="854"/>
      <c r="B73" s="859" t="s">
        <v>674</v>
      </c>
      <c r="C73" s="1092" t="s">
        <v>277</v>
      </c>
      <c r="D73" s="1092" t="s">
        <v>923</v>
      </c>
      <c r="G73" s="862" t="s">
        <v>59</v>
      </c>
    </row>
    <row r="74" spans="1:8">
      <c r="A74" s="862">
        <v>54</v>
      </c>
      <c r="B74" s="823" t="s">
        <v>636</v>
      </c>
      <c r="C74" s="867">
        <f>C39-C38</f>
        <v>2859.1962417333343</v>
      </c>
      <c r="D74" s="867">
        <f>D39-D38</f>
        <v>30503.689999999595</v>
      </c>
      <c r="G74" s="864">
        <f t="shared" ref="G74:G86" si="9">SUM(C74:F74)</f>
        <v>33362.886241732929</v>
      </c>
      <c r="H74" s="862"/>
    </row>
    <row r="75" spans="1:8">
      <c r="A75" s="862">
        <v>55</v>
      </c>
      <c r="B75" s="823" t="s">
        <v>637</v>
      </c>
      <c r="C75" s="867">
        <f>C40-C39</f>
        <v>2859.196241733327</v>
      </c>
      <c r="D75" s="867">
        <f>D40-D39</f>
        <v>30503.579999999958</v>
      </c>
      <c r="G75" s="864">
        <f t="shared" si="9"/>
        <v>33362.776241733285</v>
      </c>
      <c r="H75" s="862"/>
    </row>
    <row r="76" spans="1:8">
      <c r="A76" s="862">
        <v>56</v>
      </c>
      <c r="B76" s="823" t="s">
        <v>638</v>
      </c>
      <c r="C76" s="867">
        <f t="shared" ref="C76:D85" si="10">C41-C40</f>
        <v>2859.196241733327</v>
      </c>
      <c r="D76" s="867">
        <f t="shared" si="10"/>
        <v>30503.579999999958</v>
      </c>
      <c r="G76" s="864">
        <f t="shared" si="9"/>
        <v>33362.776241733285</v>
      </c>
      <c r="H76" s="862"/>
    </row>
    <row r="77" spans="1:8">
      <c r="A77" s="862">
        <v>57</v>
      </c>
      <c r="B77" s="823" t="s">
        <v>213</v>
      </c>
      <c r="C77" s="867">
        <f t="shared" si="10"/>
        <v>2859.196241733327</v>
      </c>
      <c r="D77" s="867">
        <f t="shared" si="10"/>
        <v>30503.579999999958</v>
      </c>
      <c r="G77" s="864">
        <f t="shared" si="9"/>
        <v>33362.776241733285</v>
      </c>
      <c r="H77" s="862"/>
    </row>
    <row r="78" spans="1:8">
      <c r="A78" s="862">
        <v>58</v>
      </c>
      <c r="B78" s="823" t="s">
        <v>214</v>
      </c>
      <c r="C78" s="867">
        <f t="shared" si="10"/>
        <v>2859.196241733327</v>
      </c>
      <c r="D78" s="867">
        <f t="shared" si="10"/>
        <v>30503.579999999958</v>
      </c>
      <c r="G78" s="864">
        <f t="shared" si="9"/>
        <v>33362.776241733285</v>
      </c>
      <c r="H78" s="862"/>
    </row>
    <row r="79" spans="1:8">
      <c r="A79" s="862">
        <v>59</v>
      </c>
      <c r="B79" s="823" t="s">
        <v>215</v>
      </c>
      <c r="C79" s="867">
        <f t="shared" si="10"/>
        <v>2859.196241733327</v>
      </c>
      <c r="D79" s="867">
        <f t="shared" si="10"/>
        <v>30591.460000000196</v>
      </c>
      <c r="G79" s="864">
        <f t="shared" si="9"/>
        <v>33450.656241733523</v>
      </c>
      <c r="H79" s="862"/>
    </row>
    <row r="80" spans="1:8">
      <c r="A80" s="862">
        <v>60</v>
      </c>
      <c r="B80" s="823" t="s">
        <v>639</v>
      </c>
      <c r="C80" s="867">
        <f t="shared" si="10"/>
        <v>2859.196241733327</v>
      </c>
      <c r="D80" s="867">
        <f t="shared" si="10"/>
        <v>30591.489999999991</v>
      </c>
      <c r="G80" s="864">
        <f t="shared" si="9"/>
        <v>33450.686241733318</v>
      </c>
      <c r="H80" s="862"/>
    </row>
    <row r="81" spans="1:8">
      <c r="A81" s="862">
        <v>61</v>
      </c>
      <c r="B81" s="823" t="s">
        <v>640</v>
      </c>
      <c r="C81" s="867">
        <f t="shared" si="10"/>
        <v>2859.196241733327</v>
      </c>
      <c r="D81" s="867">
        <f t="shared" si="10"/>
        <v>31415.349999999977</v>
      </c>
      <c r="G81" s="864">
        <f t="shared" si="9"/>
        <v>34274.546241733304</v>
      </c>
      <c r="H81" s="862"/>
    </row>
    <row r="82" spans="1:8">
      <c r="A82" s="862">
        <v>62</v>
      </c>
      <c r="B82" s="823" t="s">
        <v>641</v>
      </c>
      <c r="C82" s="867">
        <f t="shared" si="10"/>
        <v>2859.196241733327</v>
      </c>
      <c r="D82" s="867">
        <f t="shared" si="10"/>
        <v>31415.349999999977</v>
      </c>
      <c r="G82" s="864">
        <f t="shared" si="9"/>
        <v>34274.546241733304</v>
      </c>
      <c r="H82" s="862"/>
    </row>
    <row r="83" spans="1:8">
      <c r="A83" s="862">
        <v>63</v>
      </c>
      <c r="B83" s="823" t="s">
        <v>642</v>
      </c>
      <c r="C83" s="867">
        <f t="shared" si="10"/>
        <v>2859.196241733327</v>
      </c>
      <c r="D83" s="867">
        <f t="shared" si="10"/>
        <v>31415.349999999977</v>
      </c>
      <c r="G83" s="864">
        <f t="shared" si="9"/>
        <v>34274.546241733304</v>
      </c>
      <c r="H83" s="862"/>
    </row>
    <row r="84" spans="1:8">
      <c r="A84" s="862">
        <v>64</v>
      </c>
      <c r="B84" s="823" t="s">
        <v>643</v>
      </c>
      <c r="C84" s="867">
        <f t="shared" si="10"/>
        <v>2859.196241733327</v>
      </c>
      <c r="D84" s="867">
        <f t="shared" si="10"/>
        <v>31415.350000000093</v>
      </c>
      <c r="G84" s="864">
        <f t="shared" si="9"/>
        <v>34274.54624173342</v>
      </c>
      <c r="H84" s="862"/>
    </row>
    <row r="85" spans="1:8">
      <c r="A85" s="862">
        <v>65</v>
      </c>
      <c r="B85" s="823" t="s">
        <v>644</v>
      </c>
      <c r="C85" s="867">
        <f t="shared" si="10"/>
        <v>2859.1962417333561</v>
      </c>
      <c r="D85" s="867">
        <f t="shared" si="10"/>
        <v>31415.350000000093</v>
      </c>
      <c r="G85" s="864">
        <f t="shared" si="9"/>
        <v>34274.546241733449</v>
      </c>
      <c r="H85" s="862"/>
    </row>
    <row r="86" spans="1:8">
      <c r="A86" s="862">
        <v>66</v>
      </c>
      <c r="B86" s="823" t="s">
        <v>59</v>
      </c>
      <c r="C86" s="867">
        <f>SUM(C74:C85)</f>
        <v>34310.354900799961</v>
      </c>
      <c r="D86" s="867">
        <f>SUM(D74:D85)</f>
        <v>370777.70999999973</v>
      </c>
      <c r="G86" s="864">
        <f t="shared" si="9"/>
        <v>405088.06490079971</v>
      </c>
    </row>
    <row r="87" spans="1:8">
      <c r="G87" s="867"/>
    </row>
    <row r="89" spans="1:8">
      <c r="B89" s="859" t="s">
        <v>936</v>
      </c>
      <c r="C89" s="823"/>
    </row>
    <row r="90" spans="1:8">
      <c r="A90" s="862">
        <v>67</v>
      </c>
      <c r="B90" s="823" t="s">
        <v>635</v>
      </c>
      <c r="C90" s="865">
        <v>2115776</v>
      </c>
    </row>
    <row r="91" spans="1:8">
      <c r="A91" s="862">
        <v>68</v>
      </c>
      <c r="B91" s="823" t="s">
        <v>636</v>
      </c>
      <c r="C91" s="865">
        <v>2115776</v>
      </c>
    </row>
    <row r="92" spans="1:8">
      <c r="A92" s="862">
        <v>69</v>
      </c>
      <c r="B92" s="823" t="s">
        <v>637</v>
      </c>
      <c r="C92" s="865">
        <v>2115776</v>
      </c>
    </row>
    <row r="93" spans="1:8">
      <c r="A93" s="862">
        <v>70</v>
      </c>
      <c r="B93" s="823" t="s">
        <v>638</v>
      </c>
      <c r="C93" s="865">
        <v>2115776</v>
      </c>
    </row>
    <row r="94" spans="1:8">
      <c r="A94" s="862">
        <v>71</v>
      </c>
      <c r="B94" s="823" t="s">
        <v>213</v>
      </c>
      <c r="C94" s="865">
        <v>2115776</v>
      </c>
    </row>
    <row r="95" spans="1:8">
      <c r="A95" s="862">
        <v>72</v>
      </c>
      <c r="B95" s="823" t="s">
        <v>214</v>
      </c>
      <c r="C95" s="865">
        <v>2115776</v>
      </c>
    </row>
    <row r="96" spans="1:8">
      <c r="A96" s="862">
        <v>73</v>
      </c>
      <c r="B96" s="823" t="s">
        <v>215</v>
      </c>
      <c r="C96" s="865">
        <v>2115776</v>
      </c>
    </row>
    <row r="97" spans="1:3">
      <c r="A97" s="862">
        <v>74</v>
      </c>
      <c r="B97" s="823" t="s">
        <v>639</v>
      </c>
      <c r="C97" s="865">
        <v>2115776</v>
      </c>
    </row>
    <row r="98" spans="1:3">
      <c r="A98" s="862">
        <v>75</v>
      </c>
      <c r="B98" s="823" t="s">
        <v>640</v>
      </c>
      <c r="C98" s="865">
        <v>2115776</v>
      </c>
    </row>
    <row r="99" spans="1:3">
      <c r="A99" s="862">
        <v>76</v>
      </c>
      <c r="B99" s="823" t="s">
        <v>641</v>
      </c>
      <c r="C99" s="865">
        <v>2115776</v>
      </c>
    </row>
    <row r="100" spans="1:3">
      <c r="A100" s="862">
        <v>77</v>
      </c>
      <c r="B100" s="823" t="s">
        <v>642</v>
      </c>
      <c r="C100" s="865">
        <v>2115776</v>
      </c>
    </row>
    <row r="101" spans="1:3">
      <c r="A101" s="862">
        <v>78</v>
      </c>
      <c r="B101" s="823" t="s">
        <v>643</v>
      </c>
      <c r="C101" s="865">
        <v>2115776</v>
      </c>
    </row>
    <row r="102" spans="1:3">
      <c r="A102" s="862">
        <v>79</v>
      </c>
      <c r="B102" s="823" t="s">
        <v>644</v>
      </c>
      <c r="C102" s="865">
        <v>2115776</v>
      </c>
    </row>
    <row r="103" spans="1:3">
      <c r="A103" s="862">
        <v>80</v>
      </c>
      <c r="B103" s="823" t="s">
        <v>666</v>
      </c>
      <c r="C103" s="867">
        <f>AVERAGE(C90:C102)</f>
        <v>2115776</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topLeftCell="A138" zoomScaleNormal="100" workbookViewId="0">
      <selection activeCell="J164" sqref="J164"/>
    </sheetView>
  </sheetViews>
  <sheetFormatPr defaultColWidth="11.42578125" defaultRowHeight="15"/>
  <cols>
    <col min="1" max="1" width="5.28515625" style="1271" customWidth="1"/>
    <col min="2" max="2" width="46.5703125" style="1271" customWidth="1"/>
    <col min="3" max="3" width="2.140625" style="1271" customWidth="1"/>
    <col min="4" max="4" width="6.85546875" style="1271" bestFit="1" customWidth="1"/>
    <col min="5" max="5" width="21.85546875" style="1271" bestFit="1" customWidth="1"/>
    <col min="6" max="6" width="18" style="1271" bestFit="1" customWidth="1"/>
    <col min="7" max="7" width="19" style="1271" bestFit="1" customWidth="1"/>
    <col min="8" max="8" width="15.7109375" style="1271" customWidth="1"/>
    <col min="9" max="16384" width="11.42578125" style="1271"/>
  </cols>
  <sheetData>
    <row r="1" spans="1:8">
      <c r="A1" s="1273"/>
      <c r="B1" s="2046" t="s">
        <v>344</v>
      </c>
      <c r="C1" s="2046"/>
      <c r="D1" s="2046"/>
      <c r="E1" s="2046"/>
      <c r="F1" s="1273"/>
      <c r="G1" s="1273"/>
      <c r="H1" s="1273"/>
    </row>
    <row r="2" spans="1:8">
      <c r="A2" s="1273"/>
      <c r="B2" s="2047" t="s">
        <v>1249</v>
      </c>
      <c r="C2" s="2047"/>
      <c r="D2" s="2047"/>
      <c r="E2" s="2047"/>
      <c r="F2" s="1273"/>
      <c r="G2" s="1273"/>
      <c r="H2" s="1273"/>
    </row>
    <row r="3" spans="1:8">
      <c r="A3" s="1273"/>
      <c r="B3" s="1273"/>
      <c r="C3" s="1273"/>
      <c r="D3" s="1273"/>
      <c r="E3" s="1273"/>
      <c r="F3" s="1273"/>
      <c r="G3" s="1273"/>
      <c r="H3" s="1273"/>
    </row>
    <row r="4" spans="1:8">
      <c r="A4" s="1273"/>
      <c r="B4" s="1295"/>
      <c r="C4" s="1295"/>
      <c r="D4" s="1295"/>
      <c r="E4" s="1295"/>
      <c r="F4" s="1273"/>
      <c r="G4" s="1273"/>
      <c r="H4" s="1273"/>
    </row>
    <row r="5" spans="1:8">
      <c r="A5" s="1273"/>
      <c r="B5" s="1295"/>
      <c r="C5" s="1273"/>
      <c r="D5" s="1273"/>
      <c r="E5" s="1273"/>
      <c r="F5" s="1273"/>
      <c r="G5" s="1273"/>
      <c r="H5" s="1273"/>
    </row>
    <row r="6" spans="1:8">
      <c r="A6" s="1273"/>
      <c r="B6" s="1273"/>
      <c r="C6" s="1273"/>
      <c r="D6" s="1273"/>
      <c r="E6" s="1296" t="s">
        <v>619</v>
      </c>
      <c r="F6" s="1296" t="s">
        <v>620</v>
      </c>
      <c r="G6" s="1296" t="s">
        <v>621</v>
      </c>
      <c r="H6" s="1273"/>
    </row>
    <row r="7" spans="1:8">
      <c r="A7" s="1273"/>
      <c r="B7" s="1273"/>
      <c r="C7" s="1273"/>
      <c r="D7" s="1273"/>
      <c r="E7" s="1297" t="s">
        <v>1250</v>
      </c>
      <c r="F7" s="1273"/>
      <c r="G7" s="1273"/>
      <c r="H7" s="1273"/>
    </row>
    <row r="8" spans="1:8">
      <c r="A8" s="1273"/>
      <c r="B8" s="1273"/>
      <c r="C8" s="1273"/>
      <c r="D8" s="1273"/>
      <c r="E8" s="1298"/>
      <c r="F8" s="1299"/>
      <c r="G8" s="1299"/>
      <c r="H8" s="1273"/>
    </row>
    <row r="9" spans="1:8">
      <c r="A9" s="1273"/>
      <c r="B9" s="1300"/>
      <c r="C9" s="1301"/>
      <c r="D9" s="1302"/>
      <c r="E9" s="1303" t="s">
        <v>59</v>
      </c>
      <c r="F9" s="1303" t="s">
        <v>1251</v>
      </c>
      <c r="G9" s="1303" t="s">
        <v>1252</v>
      </c>
      <c r="H9" s="1273"/>
    </row>
    <row r="10" spans="1:8">
      <c r="A10" s="1304">
        <v>1</v>
      </c>
      <c r="B10" s="1305" t="s">
        <v>1253</v>
      </c>
      <c r="C10" s="1273"/>
      <c r="D10" s="1306">
        <v>560</v>
      </c>
      <c r="E10" s="1294">
        <v>5379288.0000000009</v>
      </c>
      <c r="F10" s="1319"/>
      <c r="G10" s="1308">
        <f>E10-F10</f>
        <v>5379288.0000000009</v>
      </c>
      <c r="H10" s="1273"/>
    </row>
    <row r="11" spans="1:8">
      <c r="A11" s="1304">
        <f>A10+1</f>
        <v>2</v>
      </c>
      <c r="B11" s="1305" t="s">
        <v>1254</v>
      </c>
      <c r="C11" s="1273"/>
      <c r="D11" s="1306">
        <v>561.1</v>
      </c>
      <c r="E11" s="1272">
        <v>1825.9099999999999</v>
      </c>
      <c r="F11" s="1319"/>
      <c r="G11" s="1308">
        <f t="shared" ref="G11:G34" si="0">E11-F11</f>
        <v>1825.9099999999999</v>
      </c>
      <c r="H11" s="1273"/>
    </row>
    <row r="12" spans="1:8">
      <c r="A12" s="1304">
        <f t="shared" ref="A12:A35" si="1">A11+1</f>
        <v>3</v>
      </c>
      <c r="B12" s="1305" t="s">
        <v>1255</v>
      </c>
      <c r="C12" s="1273"/>
      <c r="D12" s="1306">
        <v>561.20000000000005</v>
      </c>
      <c r="E12" s="1272">
        <v>755080</v>
      </c>
      <c r="F12" s="1321"/>
      <c r="G12" s="1308">
        <f t="shared" si="0"/>
        <v>755080</v>
      </c>
      <c r="H12" s="1273"/>
    </row>
    <row r="13" spans="1:8">
      <c r="A13" s="1304">
        <f t="shared" si="1"/>
        <v>4</v>
      </c>
      <c r="B13" s="1305" t="s">
        <v>1256</v>
      </c>
      <c r="C13" s="1273"/>
      <c r="D13" s="1306">
        <v>561.29999999999995</v>
      </c>
      <c r="E13" s="1272">
        <v>385.07000000000005</v>
      </c>
      <c r="F13" s="1321"/>
      <c r="G13" s="1308">
        <f t="shared" si="0"/>
        <v>385.07000000000005</v>
      </c>
      <c r="H13" s="1273"/>
    </row>
    <row r="14" spans="1:8">
      <c r="A14" s="1304">
        <f t="shared" si="1"/>
        <v>5</v>
      </c>
      <c r="B14" s="1305" t="s">
        <v>1257</v>
      </c>
      <c r="C14" s="1273"/>
      <c r="D14" s="1306">
        <v>561.4</v>
      </c>
      <c r="E14" s="1272">
        <v>34798.94</v>
      </c>
      <c r="F14" s="1321"/>
      <c r="G14" s="1308">
        <f t="shared" si="0"/>
        <v>34798.94</v>
      </c>
      <c r="H14" s="1273"/>
    </row>
    <row r="15" spans="1:8">
      <c r="A15" s="1304">
        <f t="shared" si="1"/>
        <v>6</v>
      </c>
      <c r="B15" s="1305" t="s">
        <v>1258</v>
      </c>
      <c r="C15" s="1273"/>
      <c r="D15" s="1306">
        <v>561.5</v>
      </c>
      <c r="E15" s="1272">
        <v>0</v>
      </c>
      <c r="F15" s="1321"/>
      <c r="G15" s="1308">
        <f t="shared" si="0"/>
        <v>0</v>
      </c>
      <c r="H15" s="1273"/>
    </row>
    <row r="16" spans="1:8">
      <c r="A16" s="1304">
        <f t="shared" si="1"/>
        <v>7</v>
      </c>
      <c r="B16" s="1305" t="s">
        <v>1259</v>
      </c>
      <c r="C16" s="1273"/>
      <c r="D16" s="1306">
        <v>561.6</v>
      </c>
      <c r="E16" s="1272">
        <v>0</v>
      </c>
      <c r="F16" s="1321"/>
      <c r="G16" s="1308">
        <f t="shared" si="0"/>
        <v>0</v>
      </c>
      <c r="H16" s="1273"/>
    </row>
    <row r="17" spans="1:8">
      <c r="A17" s="1304">
        <f t="shared" si="1"/>
        <v>8</v>
      </c>
      <c r="B17" s="1305" t="s">
        <v>1260</v>
      </c>
      <c r="C17" s="1273"/>
      <c r="D17" s="1310">
        <v>561.70000000000005</v>
      </c>
      <c r="E17" s="1272">
        <v>167981.42</v>
      </c>
      <c r="F17" s="1321"/>
      <c r="G17" s="1308">
        <f t="shared" si="0"/>
        <v>167981.42</v>
      </c>
      <c r="H17" s="1273"/>
    </row>
    <row r="18" spans="1:8">
      <c r="A18" s="1304">
        <f t="shared" si="1"/>
        <v>9</v>
      </c>
      <c r="B18" s="1305" t="s">
        <v>1261</v>
      </c>
      <c r="C18" s="1273"/>
      <c r="D18" s="1306">
        <v>561.79999999999995</v>
      </c>
      <c r="E18" s="1272">
        <v>9627.23</v>
      </c>
      <c r="F18" s="1321"/>
      <c r="G18" s="1308">
        <f t="shared" si="0"/>
        <v>9627.23</v>
      </c>
      <c r="H18" s="1273"/>
    </row>
    <row r="19" spans="1:8">
      <c r="A19" s="1304">
        <f t="shared" si="1"/>
        <v>10</v>
      </c>
      <c r="B19" s="1305" t="s">
        <v>1262</v>
      </c>
      <c r="C19" s="1273"/>
      <c r="D19" s="1306">
        <v>562</v>
      </c>
      <c r="E19" s="1272">
        <v>17174.589999999997</v>
      </c>
      <c r="F19" s="1321"/>
      <c r="G19" s="1308">
        <f t="shared" si="0"/>
        <v>17174.589999999997</v>
      </c>
      <c r="H19" s="1273"/>
    </row>
    <row r="20" spans="1:8">
      <c r="A20" s="1304">
        <f t="shared" si="1"/>
        <v>11</v>
      </c>
      <c r="B20" s="1305" t="s">
        <v>1263</v>
      </c>
      <c r="C20" s="1273"/>
      <c r="D20" s="1306">
        <v>563</v>
      </c>
      <c r="E20" s="1272">
        <v>0</v>
      </c>
      <c r="F20" s="1321"/>
      <c r="G20" s="1308">
        <f t="shared" si="0"/>
        <v>0</v>
      </c>
      <c r="H20" s="1273"/>
    </row>
    <row r="21" spans="1:8">
      <c r="A21" s="1304">
        <f t="shared" si="1"/>
        <v>12</v>
      </c>
      <c r="B21" s="1305" t="s">
        <v>1264</v>
      </c>
      <c r="C21" s="1273"/>
      <c r="D21" s="1306">
        <v>564</v>
      </c>
      <c r="E21" s="1272"/>
      <c r="F21" s="1321"/>
      <c r="G21" s="1308">
        <f t="shared" si="0"/>
        <v>0</v>
      </c>
      <c r="H21" s="1273"/>
    </row>
    <row r="22" spans="1:8">
      <c r="A22" s="1304">
        <f t="shared" si="1"/>
        <v>13</v>
      </c>
      <c r="B22" s="1305" t="s">
        <v>1265</v>
      </c>
      <c r="C22" s="1273"/>
      <c r="D22" s="1306">
        <v>565</v>
      </c>
      <c r="E22" s="1272">
        <v>0</v>
      </c>
      <c r="F22" s="1321"/>
      <c r="G22" s="1308">
        <f t="shared" si="0"/>
        <v>0</v>
      </c>
      <c r="H22" s="1273"/>
    </row>
    <row r="23" spans="1:8">
      <c r="A23" s="1304">
        <f t="shared" si="1"/>
        <v>14</v>
      </c>
      <c r="B23" s="1305" t="s">
        <v>1266</v>
      </c>
      <c r="C23" s="1273"/>
      <c r="D23" s="1306">
        <v>566</v>
      </c>
      <c r="E23" s="1272">
        <v>4034765.9599999995</v>
      </c>
      <c r="F23" s="1321">
        <f>+'5 - Cost Support 1'!L251+'5 - Cost Support 1'!M251</f>
        <v>-29148.029999999988</v>
      </c>
      <c r="G23" s="1308">
        <f>E23-F23</f>
        <v>4063913.9899999993</v>
      </c>
      <c r="H23" s="1273"/>
    </row>
    <row r="24" spans="1:8">
      <c r="A24" s="1304">
        <f t="shared" si="1"/>
        <v>15</v>
      </c>
      <c r="B24" s="1305" t="s">
        <v>1162</v>
      </c>
      <c r="C24" s="1273"/>
      <c r="D24" s="1306">
        <v>567</v>
      </c>
      <c r="E24" s="1272">
        <v>53324.710000000006</v>
      </c>
      <c r="F24" s="1321"/>
      <c r="G24" s="1308">
        <f t="shared" si="0"/>
        <v>53324.710000000006</v>
      </c>
      <c r="H24" s="1273"/>
    </row>
    <row r="25" spans="1:8">
      <c r="A25" s="1304">
        <f t="shared" si="1"/>
        <v>16</v>
      </c>
      <c r="B25" s="1305" t="s">
        <v>1267</v>
      </c>
      <c r="C25" s="1273"/>
      <c r="D25" s="1306">
        <v>568</v>
      </c>
      <c r="E25" s="1272"/>
      <c r="F25" s="1321"/>
      <c r="G25" s="1308">
        <f t="shared" si="0"/>
        <v>0</v>
      </c>
      <c r="H25" s="1273"/>
    </row>
    <row r="26" spans="1:8">
      <c r="A26" s="1304">
        <f t="shared" si="1"/>
        <v>17</v>
      </c>
      <c r="B26" s="1305" t="s">
        <v>1268</v>
      </c>
      <c r="C26" s="1273"/>
      <c r="D26" s="1306">
        <v>569</v>
      </c>
      <c r="E26" s="1272">
        <v>1547011.9700000004</v>
      </c>
      <c r="F26" s="1321"/>
      <c r="G26" s="1308">
        <f t="shared" si="0"/>
        <v>1547011.9700000004</v>
      </c>
      <c r="H26" s="1273"/>
    </row>
    <row r="27" spans="1:8">
      <c r="A27" s="1304">
        <f t="shared" si="1"/>
        <v>18</v>
      </c>
      <c r="B27" s="1305" t="s">
        <v>1269</v>
      </c>
      <c r="C27" s="1273"/>
      <c r="D27" s="1306">
        <v>569.1</v>
      </c>
      <c r="E27" s="1272"/>
      <c r="F27" s="1321"/>
      <c r="G27" s="1308">
        <f t="shared" si="0"/>
        <v>0</v>
      </c>
      <c r="H27" s="1273"/>
    </row>
    <row r="28" spans="1:8">
      <c r="A28" s="1304">
        <f t="shared" si="1"/>
        <v>19</v>
      </c>
      <c r="B28" s="1305" t="s">
        <v>1270</v>
      </c>
      <c r="C28" s="1273"/>
      <c r="D28" s="1306">
        <v>569.20000000000005</v>
      </c>
      <c r="E28" s="1272">
        <v>6270.7599999999993</v>
      </c>
      <c r="F28" s="1321"/>
      <c r="G28" s="1308">
        <f t="shared" si="0"/>
        <v>6270.7599999999993</v>
      </c>
      <c r="H28" s="1273"/>
    </row>
    <row r="29" spans="1:8">
      <c r="A29" s="1304">
        <f t="shared" si="1"/>
        <v>20</v>
      </c>
      <c r="B29" s="1305" t="s">
        <v>1271</v>
      </c>
      <c r="C29" s="1273"/>
      <c r="D29" s="1306">
        <v>569.29999999999995</v>
      </c>
      <c r="E29" s="1272"/>
      <c r="F29" s="1321"/>
      <c r="G29" s="1308">
        <f t="shared" si="0"/>
        <v>0</v>
      </c>
      <c r="H29" s="1273"/>
    </row>
    <row r="30" spans="1:8">
      <c r="A30" s="1304">
        <f t="shared" si="1"/>
        <v>21</v>
      </c>
      <c r="B30" s="1305" t="s">
        <v>1272</v>
      </c>
      <c r="C30" s="1273"/>
      <c r="D30" s="1306">
        <v>569.4</v>
      </c>
      <c r="E30" s="1272"/>
      <c r="F30" s="1321"/>
      <c r="G30" s="1308">
        <f t="shared" si="0"/>
        <v>0</v>
      </c>
      <c r="H30" s="1273"/>
    </row>
    <row r="31" spans="1:8">
      <c r="A31" s="1304">
        <f t="shared" si="1"/>
        <v>22</v>
      </c>
      <c r="B31" s="1305" t="s">
        <v>1273</v>
      </c>
      <c r="C31" s="1273"/>
      <c r="D31" s="1306">
        <v>570</v>
      </c>
      <c r="E31" s="1272">
        <v>10116582.65</v>
      </c>
      <c r="F31" s="1321"/>
      <c r="G31" s="1308">
        <f t="shared" si="0"/>
        <v>10116582.65</v>
      </c>
      <c r="H31" s="1273"/>
    </row>
    <row r="32" spans="1:8">
      <c r="A32" s="1304">
        <f t="shared" si="1"/>
        <v>23</v>
      </c>
      <c r="B32" s="1305" t="s">
        <v>1274</v>
      </c>
      <c r="C32" s="1273"/>
      <c r="D32" s="1306">
        <v>571</v>
      </c>
      <c r="E32" s="1272">
        <v>3086370.03</v>
      </c>
      <c r="F32" s="1321"/>
      <c r="G32" s="1308">
        <f t="shared" si="0"/>
        <v>3086370.03</v>
      </c>
      <c r="H32" s="1273"/>
    </row>
    <row r="33" spans="1:8">
      <c r="A33" s="1304">
        <f t="shared" si="1"/>
        <v>24</v>
      </c>
      <c r="B33" s="1305" t="s">
        <v>1275</v>
      </c>
      <c r="C33" s="1273"/>
      <c r="D33" s="1306">
        <v>572</v>
      </c>
      <c r="E33" s="1272">
        <v>1874599.7700000005</v>
      </c>
      <c r="F33" s="1321"/>
      <c r="G33" s="1308">
        <f t="shared" si="0"/>
        <v>1874599.7700000005</v>
      </c>
      <c r="H33" s="1273"/>
    </row>
    <row r="34" spans="1:8">
      <c r="A34" s="1304">
        <f t="shared" si="1"/>
        <v>25</v>
      </c>
      <c r="B34" s="1311" t="s">
        <v>1276</v>
      </c>
      <c r="C34" s="1273"/>
      <c r="D34" s="1306">
        <v>573</v>
      </c>
      <c r="E34" s="1272">
        <v>1046948.26</v>
      </c>
      <c r="F34" s="1319"/>
      <c r="G34" s="1308">
        <f t="shared" si="0"/>
        <v>1046948.26</v>
      </c>
      <c r="H34" s="1309"/>
    </row>
    <row r="35" spans="1:8">
      <c r="A35" s="1304">
        <f t="shared" si="1"/>
        <v>26</v>
      </c>
      <c r="B35" s="1295" t="s">
        <v>1570</v>
      </c>
      <c r="C35" s="1273"/>
      <c r="D35" s="1304"/>
      <c r="E35" s="1312">
        <f>SUM(E10:E34)</f>
        <v>28132035.270000003</v>
      </c>
      <c r="F35" s="1312">
        <f>SUM(F10:F34)</f>
        <v>-29148.029999999988</v>
      </c>
      <c r="G35" s="1312">
        <f>SUM(G10:G34)</f>
        <v>28161183.300000004</v>
      </c>
      <c r="H35" s="1273"/>
    </row>
    <row r="36" spans="1:8">
      <c r="A36" s="1304"/>
      <c r="B36" s="1273"/>
      <c r="C36" s="1273"/>
      <c r="D36" s="1273"/>
      <c r="E36" s="1273"/>
      <c r="F36" s="1273"/>
      <c r="G36" s="1273"/>
      <c r="H36" s="1273"/>
    </row>
    <row r="37" spans="1:8">
      <c r="A37" s="1273"/>
      <c r="B37" s="1273"/>
      <c r="C37" s="1273"/>
      <c r="D37" s="1273"/>
      <c r="E37" s="1313"/>
      <c r="F37" s="1314"/>
      <c r="G37" s="1314"/>
      <c r="H37" s="1273"/>
    </row>
    <row r="38" spans="1:8">
      <c r="A38" s="1304">
        <f>A35+1</f>
        <v>27</v>
      </c>
      <c r="B38" s="1313" t="s">
        <v>1277</v>
      </c>
      <c r="C38" s="1273"/>
      <c r="D38" s="1273"/>
      <c r="E38" s="1273"/>
      <c r="F38" s="1313" t="s">
        <v>59</v>
      </c>
      <c r="G38" s="1309">
        <f>+G35</f>
        <v>28161183.300000004</v>
      </c>
      <c r="H38" s="1273"/>
    </row>
    <row r="39" spans="1:8">
      <c r="A39" s="1304"/>
      <c r="B39" s="1273"/>
      <c r="C39" s="1273"/>
      <c r="D39" s="1273"/>
      <c r="E39" s="1273"/>
      <c r="F39" s="1273"/>
      <c r="G39" s="1315"/>
      <c r="H39" s="1316"/>
    </row>
    <row r="40" spans="1:8">
      <c r="A40" s="1273"/>
      <c r="B40" s="1273"/>
      <c r="C40" s="1273"/>
      <c r="D40" s="1273"/>
      <c r="E40" s="1273"/>
      <c r="F40" s="1273"/>
      <c r="G40" s="1273"/>
      <c r="H40" s="1273"/>
    </row>
    <row r="41" spans="1:8">
      <c r="A41" s="1273"/>
      <c r="B41" s="1273"/>
      <c r="C41" s="1273"/>
      <c r="D41" s="1273"/>
      <c r="E41" s="1273"/>
      <c r="F41" s="1273"/>
      <c r="G41" s="1354"/>
      <c r="H41" s="1273"/>
    </row>
  </sheetData>
  <mergeCells count="2">
    <mergeCell ref="B1:E1"/>
    <mergeCell ref="B2:E2"/>
  </mergeCells>
  <pageMargins left="0.25" right="0.25" top="0.75" bottom="0.75" header="0.3" footer="0.3"/>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topLeftCell="A140" zoomScaleNormal="100" workbookViewId="0">
      <selection activeCell="J164" sqref="J164"/>
    </sheetView>
  </sheetViews>
  <sheetFormatPr defaultColWidth="11.42578125" defaultRowHeight="15"/>
  <cols>
    <col min="1" max="1" width="5.28515625" style="1271" customWidth="1"/>
    <col min="2" max="2" width="46.5703125" style="1271" customWidth="1"/>
    <col min="3" max="3" width="2.140625" style="1271" customWidth="1"/>
    <col min="4" max="4" width="9.7109375" style="1271" customWidth="1"/>
    <col min="5" max="5" width="21.85546875" style="1271" bestFit="1" customWidth="1"/>
    <col min="6" max="6" width="2.85546875" style="1271" customWidth="1"/>
    <col min="7" max="7" width="19" style="1271" bestFit="1" customWidth="1"/>
    <col min="8" max="8" width="22.5703125" style="1271" bestFit="1" customWidth="1"/>
    <col min="9" max="9" width="18" style="1271" bestFit="1" customWidth="1"/>
    <col min="10" max="10" width="19" style="1271" bestFit="1" customWidth="1"/>
    <col min="11" max="11" width="5.5703125" style="1271" customWidth="1"/>
    <col min="12" max="16384" width="11.42578125" style="1271"/>
  </cols>
  <sheetData>
    <row r="1" spans="1:12">
      <c r="A1" s="1273"/>
      <c r="B1" s="2046" t="s">
        <v>344</v>
      </c>
      <c r="C1" s="2046"/>
      <c r="D1" s="2046"/>
      <c r="E1" s="2046"/>
      <c r="F1" s="2046"/>
      <c r="G1" s="2046"/>
      <c r="H1" s="1273"/>
      <c r="I1" s="1273"/>
      <c r="J1" s="1273"/>
      <c r="K1" s="1273"/>
      <c r="L1" s="1273"/>
    </row>
    <row r="2" spans="1:12">
      <c r="A2" s="1273"/>
      <c r="B2" s="2047" t="s">
        <v>1278</v>
      </c>
      <c r="C2" s="2047"/>
      <c r="D2" s="2047"/>
      <c r="E2" s="2047"/>
      <c r="F2" s="2047"/>
      <c r="G2" s="2047"/>
      <c r="H2" s="1273"/>
      <c r="I2" s="1273"/>
      <c r="J2" s="1273"/>
      <c r="K2" s="1273"/>
      <c r="L2" s="1273"/>
    </row>
    <row r="3" spans="1:12">
      <c r="A3" s="1273"/>
      <c r="B3" s="1273"/>
      <c r="C3" s="1273"/>
      <c r="D3" s="1273"/>
      <c r="E3" s="1273"/>
      <c r="F3" s="1273"/>
      <c r="G3" s="1273"/>
      <c r="H3" s="1273"/>
      <c r="I3" s="1273"/>
      <c r="J3" s="1273"/>
      <c r="K3" s="1273"/>
      <c r="L3" s="1273"/>
    </row>
    <row r="4" spans="1:12">
      <c r="A4" s="1273"/>
      <c r="B4" s="1295"/>
      <c r="C4" s="1295"/>
      <c r="D4" s="1295"/>
      <c r="E4" s="1295"/>
      <c r="F4" s="1295"/>
      <c r="G4" s="1295"/>
      <c r="H4" s="1273"/>
      <c r="I4" s="1273"/>
      <c r="J4" s="1273"/>
      <c r="K4" s="1273"/>
      <c r="L4" s="1273"/>
    </row>
    <row r="5" spans="1:12">
      <c r="A5" s="1273"/>
      <c r="B5" s="1295"/>
      <c r="C5" s="1273"/>
      <c r="D5" s="1273"/>
      <c r="E5" s="1273"/>
      <c r="F5" s="1273"/>
      <c r="G5" s="1273"/>
      <c r="H5" s="1273"/>
      <c r="I5" s="1273"/>
      <c r="J5" s="1273"/>
      <c r="K5" s="1273"/>
      <c r="L5" s="1273"/>
    </row>
    <row r="6" spans="1:12">
      <c r="A6" s="1273"/>
      <c r="B6" s="1273"/>
      <c r="C6" s="1273"/>
      <c r="D6" s="1273"/>
      <c r="E6" s="1296" t="s">
        <v>619</v>
      </c>
      <c r="F6" s="1273"/>
      <c r="G6" s="1296" t="s">
        <v>620</v>
      </c>
      <c r="H6" s="1296" t="s">
        <v>621</v>
      </c>
      <c r="I6" s="1317" t="s">
        <v>622</v>
      </c>
      <c r="J6" s="1296" t="s">
        <v>623</v>
      </c>
      <c r="K6" s="1273"/>
      <c r="L6" s="1273"/>
    </row>
    <row r="7" spans="1:12">
      <c r="A7" s="1273"/>
      <c r="B7" s="1273"/>
      <c r="C7" s="1273"/>
      <c r="D7" s="1273"/>
      <c r="E7" s="1297" t="s">
        <v>1279</v>
      </c>
      <c r="F7" s="1273"/>
      <c r="G7" s="1273"/>
      <c r="H7" s="1273"/>
      <c r="I7" s="1273"/>
      <c r="J7" s="1273"/>
      <c r="K7" s="1273"/>
      <c r="L7" s="1273"/>
    </row>
    <row r="8" spans="1:12">
      <c r="A8" s="1273"/>
      <c r="B8" s="1273"/>
      <c r="C8" s="1273"/>
      <c r="D8" s="1273"/>
      <c r="E8" s="1298"/>
      <c r="F8" s="1299"/>
      <c r="G8" s="1299"/>
      <c r="H8" s="1299"/>
      <c r="I8" s="1299"/>
      <c r="J8" s="1299"/>
      <c r="K8" s="1273"/>
      <c r="L8" s="1273"/>
    </row>
    <row r="9" spans="1:12">
      <c r="A9" s="1273"/>
      <c r="B9" s="1300"/>
      <c r="C9" s="1301"/>
      <c r="D9" s="1302"/>
      <c r="E9" s="1303" t="s">
        <v>59</v>
      </c>
      <c r="F9" s="1303"/>
      <c r="G9" s="1303" t="s">
        <v>1280</v>
      </c>
      <c r="H9" s="1303" t="s">
        <v>1281</v>
      </c>
      <c r="I9" s="1303" t="s">
        <v>1251</v>
      </c>
      <c r="J9" s="1303" t="s">
        <v>1252</v>
      </c>
      <c r="K9" s="1273"/>
      <c r="L9" s="1273"/>
    </row>
    <row r="10" spans="1:12">
      <c r="A10" s="1304">
        <v>1</v>
      </c>
      <c r="B10" s="1305" t="s">
        <v>1282</v>
      </c>
      <c r="C10" s="1273"/>
      <c r="D10" s="1306">
        <v>920</v>
      </c>
      <c r="E10" s="1294">
        <f>SUM(G10:J10)</f>
        <v>6453776.0800000001</v>
      </c>
      <c r="F10" s="1318"/>
      <c r="G10" s="1294">
        <v>6453776.0800000001</v>
      </c>
      <c r="H10" s="1307"/>
      <c r="I10" s="1319"/>
      <c r="J10" s="1308">
        <v>0</v>
      </c>
      <c r="K10" s="1273"/>
      <c r="L10" s="1273"/>
    </row>
    <row r="11" spans="1:12">
      <c r="A11" s="1304">
        <f>A10+1</f>
        <v>2</v>
      </c>
      <c r="B11" s="1305" t="s">
        <v>1283</v>
      </c>
      <c r="C11" s="1273"/>
      <c r="D11" s="1306">
        <v>921</v>
      </c>
      <c r="E11" s="1294">
        <f t="shared" ref="E11:E23" si="0">SUM(G11:J11)</f>
        <v>7554253.1899999995</v>
      </c>
      <c r="F11" s="1320"/>
      <c r="G11" s="1272">
        <v>7554253.1899999995</v>
      </c>
      <c r="H11" s="1309"/>
      <c r="I11" s="1321"/>
      <c r="J11" s="1322">
        <v>0</v>
      </c>
      <c r="K11" s="1273"/>
      <c r="L11" s="1273"/>
    </row>
    <row r="12" spans="1:12">
      <c r="A12" s="1304">
        <f t="shared" ref="A12:A24" si="1">A11+1</f>
        <v>3</v>
      </c>
      <c r="B12" s="1305" t="s">
        <v>1284</v>
      </c>
      <c r="C12" s="1273"/>
      <c r="D12" s="1306">
        <v>922</v>
      </c>
      <c r="E12" s="1294">
        <f t="shared" si="0"/>
        <v>0</v>
      </c>
      <c r="F12" s="1320"/>
      <c r="G12" s="1272">
        <v>0</v>
      </c>
      <c r="H12" s="1309"/>
      <c r="I12" s="1321"/>
      <c r="J12" s="1322">
        <v>0</v>
      </c>
      <c r="K12" s="1273"/>
      <c r="L12" s="1273"/>
    </row>
    <row r="13" spans="1:12">
      <c r="A13" s="1304">
        <f t="shared" si="1"/>
        <v>4</v>
      </c>
      <c r="B13" s="1305" t="s">
        <v>1285</v>
      </c>
      <c r="C13" s="1273"/>
      <c r="D13" s="1306">
        <v>923</v>
      </c>
      <c r="E13" s="1294">
        <f t="shared" si="0"/>
        <v>129042159</v>
      </c>
      <c r="F13" s="1320"/>
      <c r="G13" s="1272">
        <f>129042159-I13</f>
        <v>127252920.39008</v>
      </c>
      <c r="H13" s="1325"/>
      <c r="I13" s="1321">
        <f>+'5 - Cost Support 1'!H250+'5 - Cost Support 1'!J250+'5 - Cost Support 1'!K250+'5 - Cost Support 1'!I250</f>
        <v>1789238.6099200002</v>
      </c>
      <c r="J13" s="1322">
        <v>0</v>
      </c>
      <c r="K13" s="1273"/>
      <c r="L13" s="1273"/>
    </row>
    <row r="14" spans="1:12">
      <c r="A14" s="1304">
        <f t="shared" si="1"/>
        <v>5</v>
      </c>
      <c r="B14" s="1305" t="s">
        <v>1163</v>
      </c>
      <c r="C14" s="1273"/>
      <c r="D14" s="1306">
        <v>924</v>
      </c>
      <c r="E14" s="1294">
        <f t="shared" si="0"/>
        <v>1609408.65</v>
      </c>
      <c r="F14" s="1320"/>
      <c r="G14" s="1272">
        <v>0</v>
      </c>
      <c r="H14" s="1321">
        <v>1609408.65</v>
      </c>
      <c r="I14" s="1321"/>
      <c r="J14" s="1322">
        <v>0</v>
      </c>
      <c r="K14" s="1273"/>
      <c r="L14" s="1273"/>
    </row>
    <row r="15" spans="1:12">
      <c r="A15" s="1304">
        <f t="shared" si="1"/>
        <v>6</v>
      </c>
      <c r="B15" s="1305" t="s">
        <v>1286</v>
      </c>
      <c r="C15" s="1273"/>
      <c r="D15" s="1306">
        <v>925</v>
      </c>
      <c r="E15" s="1294">
        <f t="shared" si="0"/>
        <v>1408928</v>
      </c>
      <c r="F15" s="1320"/>
      <c r="G15" s="1272">
        <v>1408928</v>
      </c>
      <c r="H15" s="1309"/>
      <c r="I15" s="1321"/>
      <c r="J15" s="1322">
        <v>0</v>
      </c>
      <c r="K15" s="1273"/>
      <c r="L15" s="1273"/>
    </row>
    <row r="16" spans="1:12">
      <c r="A16" s="1304">
        <f t="shared" si="1"/>
        <v>7</v>
      </c>
      <c r="B16" s="1305" t="s">
        <v>1287</v>
      </c>
      <c r="C16" s="1273"/>
      <c r="D16" s="1310">
        <v>926</v>
      </c>
      <c r="E16" s="1294">
        <f t="shared" si="0"/>
        <v>18914319.930999998</v>
      </c>
      <c r="F16" s="1320"/>
      <c r="G16" s="1272">
        <v>18914319.930999998</v>
      </c>
      <c r="H16" s="1309"/>
      <c r="I16" s="1321"/>
      <c r="J16" s="1322">
        <v>0</v>
      </c>
      <c r="K16" s="1273"/>
      <c r="L16" s="1273"/>
    </row>
    <row r="17" spans="1:12">
      <c r="A17" s="1304">
        <f t="shared" si="1"/>
        <v>8</v>
      </c>
      <c r="B17" s="1305" t="s">
        <v>1288</v>
      </c>
      <c r="C17" s="1273"/>
      <c r="D17" s="1306">
        <v>927</v>
      </c>
      <c r="E17" s="1294">
        <f t="shared" si="0"/>
        <v>0</v>
      </c>
      <c r="F17" s="1320"/>
      <c r="G17" s="1272"/>
      <c r="H17" s="1309"/>
      <c r="I17" s="1321"/>
      <c r="J17" s="1322">
        <v>0</v>
      </c>
      <c r="K17" s="1273"/>
      <c r="L17" s="1273"/>
    </row>
    <row r="18" spans="1:12">
      <c r="A18" s="1304">
        <f t="shared" si="1"/>
        <v>9</v>
      </c>
      <c r="B18" s="1305" t="s">
        <v>1289</v>
      </c>
      <c r="C18" s="1273"/>
      <c r="D18" s="1306">
        <v>928</v>
      </c>
      <c r="E18" s="1294">
        <f t="shared" si="0"/>
        <v>7458082.8200000003</v>
      </c>
      <c r="F18" s="1320"/>
      <c r="G18" s="1272">
        <v>0</v>
      </c>
      <c r="H18" s="1309"/>
      <c r="I18" s="1321">
        <v>7199149.3200000003</v>
      </c>
      <c r="J18" s="1272">
        <v>258933.50000000003</v>
      </c>
      <c r="K18" s="1273"/>
      <c r="L18" s="1273"/>
    </row>
    <row r="19" spans="1:12">
      <c r="A19" s="1304">
        <f t="shared" si="1"/>
        <v>10</v>
      </c>
      <c r="B19" s="1305" t="s">
        <v>1290</v>
      </c>
      <c r="C19" s="1273"/>
      <c r="D19" s="1306">
        <v>929</v>
      </c>
      <c r="E19" s="1294">
        <f t="shared" si="0"/>
        <v>0</v>
      </c>
      <c r="F19" s="1320"/>
      <c r="G19" s="1272">
        <v>0</v>
      </c>
      <c r="H19" s="1309"/>
      <c r="I19" s="1321"/>
      <c r="J19" s="1322">
        <v>0</v>
      </c>
      <c r="K19" s="1273"/>
      <c r="L19" s="1273"/>
    </row>
    <row r="20" spans="1:12">
      <c r="A20" s="1304">
        <f t="shared" si="1"/>
        <v>11</v>
      </c>
      <c r="B20" s="1305" t="s">
        <v>1291</v>
      </c>
      <c r="C20" s="1273"/>
      <c r="D20" s="1306">
        <v>930.1</v>
      </c>
      <c r="E20" s="1294">
        <f t="shared" si="0"/>
        <v>1386252.92</v>
      </c>
      <c r="F20" s="1320"/>
      <c r="G20" s="1272"/>
      <c r="H20" s="1309"/>
      <c r="I20" s="1321">
        <v>1386252.92</v>
      </c>
      <c r="J20" s="1322">
        <v>0</v>
      </c>
      <c r="K20" s="1273"/>
      <c r="L20" s="1273"/>
    </row>
    <row r="21" spans="1:12">
      <c r="A21" s="1304">
        <f t="shared" si="1"/>
        <v>12</v>
      </c>
      <c r="B21" s="1305" t="s">
        <v>1292</v>
      </c>
      <c r="C21" s="1273"/>
      <c r="D21" s="1306">
        <v>930.2</v>
      </c>
      <c r="E21" s="1294">
        <f t="shared" si="0"/>
        <v>1260273</v>
      </c>
      <c r="F21" s="1320"/>
      <c r="G21" s="1272">
        <f>1260273-I21</f>
        <v>769269</v>
      </c>
      <c r="H21" s="1309"/>
      <c r="I21" s="1321">
        <f>+'5 - Cost Support 1'!H44</f>
        <v>491004</v>
      </c>
      <c r="J21" s="1322">
        <v>0</v>
      </c>
      <c r="K21" s="1273"/>
      <c r="L21" s="1273"/>
    </row>
    <row r="22" spans="1:12">
      <c r="A22" s="1304">
        <f t="shared" si="1"/>
        <v>13</v>
      </c>
      <c r="B22" s="1305" t="s">
        <v>1162</v>
      </c>
      <c r="C22" s="1273"/>
      <c r="D22" s="1306">
        <v>931</v>
      </c>
      <c r="E22" s="1294">
        <f t="shared" si="0"/>
        <v>-15052.17</v>
      </c>
      <c r="F22" s="1320"/>
      <c r="G22" s="1272">
        <v>-15052.17</v>
      </c>
      <c r="H22" s="1309"/>
      <c r="I22" s="1321"/>
      <c r="J22" s="1322">
        <v>0</v>
      </c>
      <c r="K22" s="1273"/>
      <c r="L22" s="1273"/>
    </row>
    <row r="23" spans="1:12">
      <c r="A23" s="1304">
        <f t="shared" si="1"/>
        <v>14</v>
      </c>
      <c r="B23" s="1311" t="s">
        <v>1293</v>
      </c>
      <c r="C23" s="1273"/>
      <c r="D23" s="1302">
        <v>935</v>
      </c>
      <c r="E23" s="1294">
        <f t="shared" si="0"/>
        <v>42113.22</v>
      </c>
      <c r="F23" s="1320"/>
      <c r="G23" s="1294">
        <v>42113.22</v>
      </c>
      <c r="H23" s="1307"/>
      <c r="I23" s="1319"/>
      <c r="J23" s="1323">
        <v>0</v>
      </c>
      <c r="K23" s="1309"/>
      <c r="L23" s="1273"/>
    </row>
    <row r="24" spans="1:12">
      <c r="A24" s="1304">
        <f t="shared" si="1"/>
        <v>15</v>
      </c>
      <c r="B24" s="1295" t="s">
        <v>1294</v>
      </c>
      <c r="C24" s="1273"/>
      <c r="D24" s="1304"/>
      <c r="E24" s="1312">
        <f>SUM(E10:E23)</f>
        <v>175114514.641</v>
      </c>
      <c r="F24" s="1324"/>
      <c r="G24" s="1312">
        <f>SUM(G10:G23)</f>
        <v>162380527.64108002</v>
      </c>
      <c r="H24" s="1312">
        <f t="shared" ref="H24:J24" si="2">SUM(H10:H23)</f>
        <v>1609408.65</v>
      </c>
      <c r="I24" s="1312">
        <f t="shared" si="2"/>
        <v>10865644.849920001</v>
      </c>
      <c r="J24" s="1312">
        <f t="shared" si="2"/>
        <v>258933.50000000003</v>
      </c>
      <c r="K24" s="1273"/>
      <c r="L24" s="1273"/>
    </row>
    <row r="25" spans="1:12">
      <c r="A25" s="1304"/>
      <c r="B25" s="1273"/>
      <c r="C25" s="1273"/>
      <c r="D25" s="1273"/>
      <c r="E25" s="1273"/>
      <c r="F25" s="1273"/>
      <c r="G25" s="1273"/>
      <c r="H25" s="1273"/>
      <c r="I25" s="1273"/>
      <c r="J25" s="1273"/>
      <c r="K25" s="1273"/>
      <c r="L25" s="1273"/>
    </row>
    <row r="26" spans="1:12">
      <c r="A26" s="1304">
        <f>A24+1</f>
        <v>16</v>
      </c>
      <c r="B26" s="1273"/>
      <c r="C26" s="1273"/>
      <c r="D26" s="1273"/>
      <c r="E26" s="1313" t="s">
        <v>1192</v>
      </c>
      <c r="F26" s="1273"/>
      <c r="G26" s="1314">
        <f>+'ATT H-9A'!H16</f>
        <v>0.10939366197352368</v>
      </c>
      <c r="H26" s="1314">
        <f>+'ATT H-9A'!H40</f>
        <v>0.19223598884570484</v>
      </c>
      <c r="I26" s="1314">
        <v>0</v>
      </c>
      <c r="J26" s="1314">
        <v>1</v>
      </c>
      <c r="K26" s="1273"/>
      <c r="L26" s="1273"/>
    </row>
    <row r="27" spans="1:12" ht="16.5">
      <c r="A27" s="1304">
        <f t="shared" ref="A27:A28" si="3">A26+1</f>
        <v>17</v>
      </c>
      <c r="B27" s="1273"/>
      <c r="C27" s="1273"/>
      <c r="D27" s="1273"/>
      <c r="E27" s="1313" t="s">
        <v>1395</v>
      </c>
      <c r="F27" s="1273"/>
      <c r="G27" s="1309">
        <f>G24*G26</f>
        <v>17763400.551850725</v>
      </c>
      <c r="H27" s="1309">
        <f t="shared" ref="H27:J27" si="4">H24*H26</f>
        <v>309386.26328958088</v>
      </c>
      <c r="I27" s="1309">
        <f t="shared" si="4"/>
        <v>0</v>
      </c>
      <c r="J27" s="1309">
        <f t="shared" si="4"/>
        <v>258933.50000000003</v>
      </c>
      <c r="K27" s="1273"/>
      <c r="L27" s="1273"/>
    </row>
    <row r="28" spans="1:12" ht="16.5">
      <c r="A28" s="1304">
        <f t="shared" si="3"/>
        <v>18</v>
      </c>
      <c r="B28" s="1273"/>
      <c r="C28" s="1273"/>
      <c r="D28" s="1273"/>
      <c r="E28" s="1273"/>
      <c r="F28" s="1273"/>
      <c r="G28" s="1273"/>
      <c r="H28" s="1273"/>
      <c r="I28" s="1313" t="s">
        <v>1396</v>
      </c>
      <c r="J28" s="1315">
        <f>SUM(G27:J27)</f>
        <v>18331720.315140307</v>
      </c>
      <c r="K28" s="1316"/>
      <c r="L28" s="1273"/>
    </row>
    <row r="29" spans="1:12">
      <c r="A29" s="1273"/>
      <c r="B29" s="1273"/>
      <c r="C29" s="1273"/>
      <c r="D29" s="1273"/>
      <c r="E29" s="1273"/>
      <c r="F29" s="1273"/>
      <c r="G29" s="1273"/>
      <c r="H29" s="1273"/>
      <c r="I29" s="1273"/>
      <c r="J29" s="1273"/>
      <c r="K29" s="1273"/>
      <c r="L29" s="1273"/>
    </row>
    <row r="30" spans="1:12" ht="16.5">
      <c r="A30" s="1273" t="s">
        <v>1397</v>
      </c>
      <c r="B30" s="1273"/>
      <c r="C30" s="1273"/>
      <c r="D30" s="1273"/>
      <c r="E30" s="1273"/>
      <c r="F30" s="1273"/>
      <c r="G30" s="1273"/>
      <c r="H30" s="1273"/>
      <c r="I30" s="1273"/>
      <c r="J30" s="1273"/>
      <c r="K30" s="1273"/>
      <c r="L30" s="1273"/>
    </row>
    <row r="31" spans="1:12" ht="16.5">
      <c r="A31" s="1273" t="s">
        <v>1398</v>
      </c>
      <c r="B31" s="1273"/>
      <c r="C31" s="1273"/>
      <c r="D31" s="1273"/>
      <c r="E31" s="1273"/>
      <c r="F31" s="1273"/>
      <c r="G31" s="1309"/>
      <c r="H31" s="1273"/>
      <c r="I31" s="1273"/>
      <c r="J31" s="1273"/>
      <c r="K31" s="1273"/>
      <c r="L31" s="1273"/>
    </row>
    <row r="32" spans="1:12">
      <c r="A32" s="1273"/>
      <c r="B32" s="1273"/>
      <c r="C32" s="1273"/>
      <c r="D32" s="1273"/>
      <c r="E32" s="1273"/>
      <c r="F32" s="1273"/>
      <c r="G32" s="1309"/>
      <c r="H32" s="1273"/>
      <c r="I32" s="1273"/>
      <c r="J32" s="1273"/>
      <c r="K32" s="1273"/>
      <c r="L32" s="1273"/>
    </row>
    <row r="33" spans="7:7">
      <c r="G33" s="1348"/>
    </row>
    <row r="34" spans="7:7">
      <c r="G34" s="1348"/>
    </row>
    <row r="35" spans="7:7">
      <c r="G35" s="1348"/>
    </row>
    <row r="36" spans="7:7">
      <c r="G36" s="1348"/>
    </row>
    <row r="37" spans="7:7">
      <c r="G37" s="1348"/>
    </row>
    <row r="38" spans="7:7">
      <c r="G38" s="1348"/>
    </row>
    <row r="39" spans="7:7">
      <c r="G39" s="1348"/>
    </row>
    <row r="40" spans="7:7">
      <c r="G40" s="1348"/>
    </row>
    <row r="41" spans="7:7">
      <c r="G41" s="1348"/>
    </row>
  </sheetData>
  <mergeCells count="2">
    <mergeCell ref="B1:G1"/>
    <mergeCell ref="B2:G2"/>
  </mergeCells>
  <pageMargins left="0.25" right="0.25" top="0.75" bottom="0.75" header="0.3" footer="0.3"/>
  <pageSetup scale="80"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96"/>
  <sheetViews>
    <sheetView topLeftCell="A45" zoomScaleNormal="100" workbookViewId="0">
      <selection activeCell="E68" sqref="E68"/>
    </sheetView>
  </sheetViews>
  <sheetFormatPr defaultRowHeight="15"/>
  <cols>
    <col min="1" max="1" width="25.140625" style="1271" customWidth="1"/>
    <col min="2" max="2" width="61" style="1271" customWidth="1"/>
    <col min="3" max="3" width="18" style="1271" bestFit="1" customWidth="1"/>
    <col min="4" max="16384" width="9.140625" style="1271"/>
  </cols>
  <sheetData>
    <row r="1" spans="1:4">
      <c r="A1" s="2048" t="s">
        <v>344</v>
      </c>
      <c r="B1" s="2048"/>
      <c r="C1" s="2048"/>
    </row>
    <row r="2" spans="1:4">
      <c r="A2" s="2049" t="s">
        <v>1295</v>
      </c>
      <c r="B2" s="2049"/>
      <c r="C2" s="2049"/>
    </row>
    <row r="3" spans="1:4">
      <c r="A3" s="1274"/>
      <c r="B3" s="1274"/>
      <c r="C3" s="1274"/>
    </row>
    <row r="4" spans="1:4">
      <c r="A4" s="1274"/>
      <c r="B4" s="1274"/>
      <c r="C4" s="1274"/>
    </row>
    <row r="5" spans="1:4">
      <c r="A5" s="1275" t="s">
        <v>216</v>
      </c>
      <c r="B5" s="1275" t="s">
        <v>217</v>
      </c>
      <c r="C5" s="1276" t="s">
        <v>1296</v>
      </c>
      <c r="D5" s="1277"/>
    </row>
    <row r="6" spans="1:4">
      <c r="A6" s="1274"/>
      <c r="B6" s="1278"/>
      <c r="C6" s="1279"/>
      <c r="D6" s="1277"/>
    </row>
    <row r="7" spans="1:4">
      <c r="A7" s="1274"/>
      <c r="B7" s="1278"/>
      <c r="C7" s="1279" t="s">
        <v>1297</v>
      </c>
      <c r="D7" s="1277"/>
    </row>
    <row r="8" spans="1:4">
      <c r="A8" s="1275" t="s">
        <v>1298</v>
      </c>
      <c r="B8" s="1275" t="s">
        <v>1299</v>
      </c>
      <c r="C8" s="1279" t="s">
        <v>1300</v>
      </c>
      <c r="D8" s="1277"/>
    </row>
    <row r="9" spans="1:4">
      <c r="A9" s="1275"/>
      <c r="B9" s="1280"/>
      <c r="C9" s="1281"/>
      <c r="D9" s="1277"/>
    </row>
    <row r="10" spans="1:4">
      <c r="A10" s="1275"/>
      <c r="B10" s="1280"/>
      <c r="C10" s="1281"/>
      <c r="D10" s="1277"/>
    </row>
    <row r="11" spans="1:4">
      <c r="A11" s="1282"/>
      <c r="B11" s="1274"/>
      <c r="C11" s="1283"/>
      <c r="D11" s="1277"/>
    </row>
    <row r="12" spans="1:4">
      <c r="A12" s="1282"/>
      <c r="B12" s="1284" t="s">
        <v>1301</v>
      </c>
      <c r="C12" s="1285"/>
      <c r="D12" s="1277"/>
    </row>
    <row r="13" spans="1:4">
      <c r="A13" s="1282"/>
      <c r="B13" s="1284"/>
      <c r="C13" s="1285"/>
      <c r="D13" s="1277"/>
    </row>
    <row r="14" spans="1:4">
      <c r="A14" s="1286" t="s">
        <v>1302</v>
      </c>
      <c r="B14" s="1286" t="s">
        <v>1303</v>
      </c>
      <c r="C14" s="1279">
        <v>1.2500000000000001E-2</v>
      </c>
      <c r="D14" s="1277"/>
    </row>
    <row r="15" spans="1:4">
      <c r="A15" s="1286" t="s">
        <v>1304</v>
      </c>
      <c r="B15" s="1286" t="s">
        <v>1305</v>
      </c>
      <c r="C15" s="1279">
        <v>2.9499999999999998E-2</v>
      </c>
      <c r="D15" s="1277"/>
    </row>
    <row r="16" spans="1:4">
      <c r="A16" s="1286" t="s">
        <v>1306</v>
      </c>
      <c r="B16" s="1286" t="s">
        <v>1305</v>
      </c>
      <c r="C16" s="1279">
        <v>2.4400000000000002E-2</v>
      </c>
      <c r="D16" s="1277"/>
    </row>
    <row r="17" spans="1:4">
      <c r="A17" s="1286" t="s">
        <v>1307</v>
      </c>
      <c r="B17" s="1286" t="s">
        <v>1305</v>
      </c>
      <c r="C17" s="1279">
        <v>3.27E-2</v>
      </c>
      <c r="D17" s="1277"/>
    </row>
    <row r="18" spans="1:4">
      <c r="A18" s="1286" t="s">
        <v>1308</v>
      </c>
      <c r="B18" s="1286" t="s">
        <v>1305</v>
      </c>
      <c r="C18" s="1279">
        <v>3.0099999999999998E-2</v>
      </c>
      <c r="D18" s="1277"/>
    </row>
    <row r="19" spans="1:4">
      <c r="A19" s="1286" t="s">
        <v>1309</v>
      </c>
      <c r="B19" s="1286" t="s">
        <v>1310</v>
      </c>
      <c r="C19" s="1279">
        <v>2.6700000000000002E-2</v>
      </c>
      <c r="D19" s="1277"/>
    </row>
    <row r="20" spans="1:4">
      <c r="A20" s="1286" t="s">
        <v>1311</v>
      </c>
      <c r="B20" s="1286" t="s">
        <v>1310</v>
      </c>
      <c r="C20" s="1279">
        <v>1.95E-2</v>
      </c>
      <c r="D20" s="1277"/>
    </row>
    <row r="21" spans="1:4">
      <c r="A21" s="1286" t="s">
        <v>1312</v>
      </c>
      <c r="B21" s="1286" t="s">
        <v>1310</v>
      </c>
      <c r="C21" s="1279">
        <v>3.0700000000000002E-2</v>
      </c>
      <c r="D21" s="1277"/>
    </row>
    <row r="22" spans="1:4">
      <c r="A22" s="1286" t="s">
        <v>1313</v>
      </c>
      <c r="B22" s="1286" t="s">
        <v>1310</v>
      </c>
      <c r="C22" s="1279">
        <v>3.0099999999999998E-2</v>
      </c>
      <c r="D22" s="1277"/>
    </row>
    <row r="23" spans="1:4">
      <c r="A23" s="1286" t="s">
        <v>1314</v>
      </c>
      <c r="B23" s="1286" t="s">
        <v>1315</v>
      </c>
      <c r="C23" s="1279">
        <v>1.9699999999999999E-2</v>
      </c>
      <c r="D23" s="1277"/>
    </row>
    <row r="24" spans="1:4">
      <c r="A24" s="1286" t="s">
        <v>1316</v>
      </c>
      <c r="B24" s="1286" t="s">
        <v>1315</v>
      </c>
      <c r="C24" s="1279">
        <v>1.6899999999999998E-2</v>
      </c>
      <c r="D24" s="1277"/>
    </row>
    <row r="25" spans="1:4">
      <c r="A25" s="1286" t="s">
        <v>1317</v>
      </c>
      <c r="B25" s="1286" t="s">
        <v>1315</v>
      </c>
      <c r="C25" s="1279">
        <v>1.9099999999999999E-2</v>
      </c>
      <c r="D25" s="1277"/>
    </row>
    <row r="26" spans="1:4">
      <c r="A26" s="1286" t="s">
        <v>1318</v>
      </c>
      <c r="B26" s="1286" t="s">
        <v>1315</v>
      </c>
      <c r="C26" s="1279">
        <v>3.0099999999999998E-2</v>
      </c>
      <c r="D26" s="1277"/>
    </row>
    <row r="27" spans="1:4">
      <c r="A27" s="1286" t="s">
        <v>1319</v>
      </c>
      <c r="B27" s="1286" t="s">
        <v>1320</v>
      </c>
      <c r="C27" s="1279">
        <v>2.8199999999999999E-2</v>
      </c>
      <c r="D27" s="1277"/>
    </row>
    <row r="28" spans="1:4">
      <c r="A28" s="1286" t="s">
        <v>1321</v>
      </c>
      <c r="B28" s="1286" t="s">
        <v>1320</v>
      </c>
      <c r="C28" s="1279">
        <v>2.63E-2</v>
      </c>
      <c r="D28" s="1277"/>
    </row>
    <row r="29" spans="1:4">
      <c r="A29" s="1286" t="s">
        <v>1322</v>
      </c>
      <c r="B29" s="1286" t="s">
        <v>1320</v>
      </c>
      <c r="C29" s="1279">
        <v>2.9100000000000001E-2</v>
      </c>
      <c r="D29" s="1277"/>
    </row>
    <row r="30" spans="1:4">
      <c r="A30" s="1286" t="s">
        <v>1323</v>
      </c>
      <c r="B30" s="1286" t="s">
        <v>1320</v>
      </c>
      <c r="C30" s="1279">
        <v>3.0099999999999998E-2</v>
      </c>
      <c r="D30" s="1277"/>
    </row>
    <row r="31" spans="1:4">
      <c r="A31" s="1286" t="s">
        <v>1324</v>
      </c>
      <c r="B31" s="1286" t="s">
        <v>1325</v>
      </c>
      <c r="C31" s="1279">
        <v>1.7899999999999999E-2</v>
      </c>
      <c r="D31" s="1277"/>
    </row>
    <row r="32" spans="1:4">
      <c r="A32" s="1286" t="s">
        <v>1326</v>
      </c>
      <c r="B32" s="1286" t="s">
        <v>1325</v>
      </c>
      <c r="C32" s="1279">
        <v>1.7999999999999999E-2</v>
      </c>
      <c r="D32" s="1277"/>
    </row>
    <row r="33" spans="1:4">
      <c r="A33" s="1286" t="s">
        <v>1327</v>
      </c>
      <c r="B33" s="1286" t="s">
        <v>1325</v>
      </c>
      <c r="C33" s="1279">
        <v>1.5100000000000001E-2</v>
      </c>
      <c r="D33" s="1277"/>
    </row>
    <row r="34" spans="1:4">
      <c r="A34" s="1286" t="s">
        <v>1328</v>
      </c>
      <c r="B34" s="1286" t="s">
        <v>1325</v>
      </c>
      <c r="C34" s="1279">
        <v>3.0099999999999998E-2</v>
      </c>
      <c r="D34" s="1277"/>
    </row>
    <row r="35" spans="1:4">
      <c r="A35" s="1286" t="s">
        <v>1329</v>
      </c>
      <c r="B35" s="1286" t="s">
        <v>1330</v>
      </c>
      <c r="C35" s="1279">
        <v>1.77E-2</v>
      </c>
      <c r="D35" s="1277"/>
    </row>
    <row r="36" spans="1:4">
      <c r="A36" s="1286" t="s">
        <v>1331</v>
      </c>
      <c r="B36" s="1286" t="s">
        <v>1330</v>
      </c>
      <c r="C36" s="1279">
        <v>1.7500000000000002E-2</v>
      </c>
      <c r="D36" s="1277"/>
    </row>
    <row r="37" spans="1:4">
      <c r="A37" s="1286" t="s">
        <v>1332</v>
      </c>
      <c r="B37" s="1286" t="s">
        <v>1330</v>
      </c>
      <c r="C37" s="1279">
        <v>1.4999999999999999E-2</v>
      </c>
      <c r="D37" s="1277"/>
    </row>
    <row r="38" spans="1:4">
      <c r="A38" s="1286" t="s">
        <v>1333</v>
      </c>
      <c r="B38" s="1286" t="s">
        <v>1330</v>
      </c>
      <c r="C38" s="1279">
        <v>3.0099999999999998E-2</v>
      </c>
      <c r="D38" s="1277"/>
    </row>
    <row r="39" spans="1:4">
      <c r="A39" s="1286" t="s">
        <v>1334</v>
      </c>
      <c r="B39" s="1286" t="s">
        <v>1335</v>
      </c>
      <c r="C39" s="1279">
        <v>1.6899999999999998E-2</v>
      </c>
      <c r="D39" s="1277"/>
    </row>
    <row r="40" spans="1:4">
      <c r="A40" s="1286" t="s">
        <v>1336</v>
      </c>
      <c r="B40" s="1286" t="s">
        <v>1335</v>
      </c>
      <c r="C40" s="1279">
        <v>1.9300000000000001E-2</v>
      </c>
      <c r="D40" s="1277"/>
    </row>
    <row r="41" spans="1:4">
      <c r="A41" s="1286" t="s">
        <v>1337</v>
      </c>
      <c r="B41" s="1286" t="s">
        <v>1335</v>
      </c>
      <c r="C41" s="1279">
        <v>1.24E-2</v>
      </c>
      <c r="D41" s="1277"/>
    </row>
    <row r="42" spans="1:4">
      <c r="A42" s="1286" t="s">
        <v>1338</v>
      </c>
      <c r="B42" s="1286" t="s">
        <v>1335</v>
      </c>
      <c r="C42" s="1279">
        <v>3.0099999999999998E-2</v>
      </c>
      <c r="D42" s="1277"/>
    </row>
    <row r="43" spans="1:4">
      <c r="A43" s="1286" t="s">
        <v>1339</v>
      </c>
      <c r="B43" s="1286" t="s">
        <v>1340</v>
      </c>
      <c r="C43" s="1279">
        <v>1.7999999999999999E-2</v>
      </c>
      <c r="D43" s="1277"/>
    </row>
    <row r="44" spans="1:4">
      <c r="A44" s="1286" t="s">
        <v>1341</v>
      </c>
      <c r="B44" s="1286" t="s">
        <v>1340</v>
      </c>
      <c r="C44" s="1279">
        <v>1.8700000000000001E-2</v>
      </c>
      <c r="D44" s="1277"/>
    </row>
    <row r="45" spans="1:4">
      <c r="A45" s="1286" t="s">
        <v>1342</v>
      </c>
      <c r="B45" s="1286" t="s">
        <v>1340</v>
      </c>
      <c r="C45" s="1279">
        <v>1.49E-2</v>
      </c>
      <c r="D45" s="1277"/>
    </row>
    <row r="46" spans="1:4">
      <c r="A46" s="1286" t="s">
        <v>1343</v>
      </c>
      <c r="B46" s="1286" t="s">
        <v>1340</v>
      </c>
      <c r="C46" s="1279">
        <v>3.0099999999999998E-2</v>
      </c>
      <c r="D46" s="1277"/>
    </row>
    <row r="47" spans="1:4">
      <c r="A47" s="1286"/>
      <c r="B47" s="1286"/>
      <c r="C47" s="1279"/>
      <c r="D47" s="1277"/>
    </row>
    <row r="48" spans="1:4">
      <c r="A48" s="1282"/>
      <c r="B48" s="1284" t="s">
        <v>1344</v>
      </c>
      <c r="C48" s="1285"/>
      <c r="D48" s="1277"/>
    </row>
    <row r="49" spans="1:4">
      <c r="A49" s="1286" t="s">
        <v>1345</v>
      </c>
      <c r="B49" s="1286" t="s">
        <v>1305</v>
      </c>
      <c r="C49" s="1279">
        <v>2.81E-2</v>
      </c>
      <c r="D49" s="1277"/>
    </row>
    <row r="50" spans="1:4">
      <c r="A50" s="1286" t="s">
        <v>1346</v>
      </c>
      <c r="B50" s="1286" t="s">
        <v>1305</v>
      </c>
      <c r="C50" s="1279">
        <v>2.6599999999999999E-2</v>
      </c>
      <c r="D50" s="1277"/>
    </row>
    <row r="51" spans="1:4">
      <c r="A51" s="1286" t="s">
        <v>1347</v>
      </c>
      <c r="B51" s="1286" t="s">
        <v>1305</v>
      </c>
      <c r="C51" s="1279">
        <v>0.13969999999999999</v>
      </c>
      <c r="D51" s="1277"/>
    </row>
    <row r="52" spans="1:4">
      <c r="A52" s="1286" t="s">
        <v>1348</v>
      </c>
      <c r="B52" s="1286" t="s">
        <v>1305</v>
      </c>
      <c r="C52" s="1279">
        <v>4.3999999999999997E-2</v>
      </c>
      <c r="D52" s="1277"/>
    </row>
    <row r="53" spans="1:4">
      <c r="A53" s="1286" t="s">
        <v>1349</v>
      </c>
      <c r="B53" s="1286" t="s">
        <v>1350</v>
      </c>
      <c r="C53" s="1279">
        <v>6.6699999999999995E-2</v>
      </c>
      <c r="D53" s="1277"/>
    </row>
    <row r="54" spans="1:4">
      <c r="A54" s="1286" t="s">
        <v>1351</v>
      </c>
      <c r="B54" s="1286" t="s">
        <v>1350</v>
      </c>
      <c r="C54" s="1279">
        <v>1.9900000000000001E-2</v>
      </c>
      <c r="D54" s="1277"/>
    </row>
    <row r="55" spans="1:4">
      <c r="A55" s="1286" t="s">
        <v>1352</v>
      </c>
      <c r="B55" s="1286" t="s">
        <v>1350</v>
      </c>
      <c r="C55" s="1279">
        <v>6.6699999999999995E-2</v>
      </c>
      <c r="D55" s="1277"/>
    </row>
    <row r="56" spans="1:4">
      <c r="A56" s="1286" t="s">
        <v>1353</v>
      </c>
      <c r="B56" s="1286" t="s">
        <v>1350</v>
      </c>
      <c r="C56" s="1279">
        <v>9.8400000000000001E-2</v>
      </c>
      <c r="D56" s="1277"/>
    </row>
    <row r="57" spans="1:4">
      <c r="A57" s="1286" t="s">
        <v>1354</v>
      </c>
      <c r="B57" s="1286" t="s">
        <v>1350</v>
      </c>
      <c r="C57" s="1279">
        <v>0.1</v>
      </c>
      <c r="D57" s="1277"/>
    </row>
    <row r="58" spans="1:4">
      <c r="A58" s="1286" t="s">
        <v>1355</v>
      </c>
      <c r="B58" s="1286" t="s">
        <v>1350</v>
      </c>
      <c r="C58" s="1279">
        <v>0.1956</v>
      </c>
      <c r="D58" s="1277"/>
    </row>
    <row r="59" spans="1:4">
      <c r="A59" s="1286" t="s">
        <v>1356</v>
      </c>
      <c r="B59" s="1286" t="s">
        <v>1357</v>
      </c>
      <c r="C59" s="1279">
        <v>0.04</v>
      </c>
      <c r="D59" s="1277"/>
    </row>
    <row r="60" spans="1:4">
      <c r="A60" s="1286" t="s">
        <v>1358</v>
      </c>
      <c r="B60" s="1286" t="s">
        <v>1357</v>
      </c>
      <c r="C60" s="1279">
        <v>4.6699999999999998E-2</v>
      </c>
      <c r="D60" s="1277"/>
    </row>
    <row r="61" spans="1:4">
      <c r="A61" s="1286" t="s">
        <v>1359</v>
      </c>
      <c r="B61" s="1286" t="s">
        <v>1360</v>
      </c>
      <c r="C61" s="1279">
        <v>0.04</v>
      </c>
      <c r="D61" s="1277"/>
    </row>
    <row r="62" spans="1:4">
      <c r="A62" s="1286" t="s">
        <v>1361</v>
      </c>
      <c r="B62" s="1286" t="s">
        <v>1360</v>
      </c>
      <c r="C62" s="1279">
        <v>6.4500000000000002E-2</v>
      </c>
      <c r="D62" s="1277"/>
    </row>
    <row r="63" spans="1:4">
      <c r="A63" s="1286" t="s">
        <v>1362</v>
      </c>
      <c r="B63" s="1286" t="s">
        <v>1363</v>
      </c>
      <c r="C63" s="1279">
        <v>6.6699999999999995E-2</v>
      </c>
      <c r="D63" s="1277"/>
    </row>
    <row r="64" spans="1:4">
      <c r="A64" s="1286" t="s">
        <v>1364</v>
      </c>
      <c r="B64" s="1286" t="s">
        <v>1363</v>
      </c>
      <c r="C64" s="1279">
        <v>5.7000000000000002E-2</v>
      </c>
      <c r="D64" s="1277"/>
    </row>
    <row r="65" spans="1:4">
      <c r="A65" s="1286" t="s">
        <v>1365</v>
      </c>
      <c r="B65" s="1286" t="s">
        <v>1366</v>
      </c>
      <c r="C65" s="1279">
        <v>7.9899999999999999E-2</v>
      </c>
      <c r="D65" s="1277"/>
    </row>
    <row r="66" spans="1:4">
      <c r="A66" s="1286" t="s">
        <v>1367</v>
      </c>
      <c r="B66" s="1286" t="s">
        <v>1368</v>
      </c>
      <c r="C66" s="1279">
        <v>6.13E-2</v>
      </c>
      <c r="D66" s="1277"/>
    </row>
    <row r="67" spans="1:4">
      <c r="A67" s="1286" t="s">
        <v>1409</v>
      </c>
      <c r="B67" s="1286" t="s">
        <v>1368</v>
      </c>
      <c r="C67" s="1279">
        <v>6.6299999999999998E-2</v>
      </c>
      <c r="D67" s="1277"/>
    </row>
    <row r="68" spans="1:4">
      <c r="A68" s="1286" t="s">
        <v>1369</v>
      </c>
      <c r="B68" s="1286" t="s">
        <v>1368</v>
      </c>
      <c r="C68" s="1279">
        <v>0.14510000000000001</v>
      </c>
      <c r="D68" s="1277"/>
    </row>
    <row r="69" spans="1:4">
      <c r="A69" s="1286" t="s">
        <v>1370</v>
      </c>
      <c r="B69" s="1286" t="s">
        <v>1368</v>
      </c>
      <c r="C69" s="1279">
        <v>4.3999999999999997E-2</v>
      </c>
      <c r="D69" s="1277"/>
    </row>
    <row r="70" spans="1:4">
      <c r="A70" s="1286" t="s">
        <v>1371</v>
      </c>
      <c r="B70" s="1286" t="s">
        <v>1368</v>
      </c>
      <c r="C70" s="1279">
        <v>1.2800000000000001E-2</v>
      </c>
      <c r="D70" s="1277"/>
    </row>
    <row r="71" spans="1:4">
      <c r="A71" s="1286" t="s">
        <v>1410</v>
      </c>
      <c r="B71" s="1286" t="s">
        <v>1368</v>
      </c>
      <c r="C71" s="1279">
        <v>0.1153</v>
      </c>
      <c r="D71" s="1277"/>
    </row>
    <row r="72" spans="1:4">
      <c r="A72" s="1286" t="s">
        <v>1372</v>
      </c>
      <c r="B72" s="1286" t="s">
        <v>1368</v>
      </c>
      <c r="C72" s="1279">
        <v>6.6699999999999995E-2</v>
      </c>
      <c r="D72" s="1277"/>
    </row>
    <row r="73" spans="1:4">
      <c r="A73" s="1286" t="s">
        <v>1373</v>
      </c>
      <c r="B73" s="1286" t="s">
        <v>1368</v>
      </c>
      <c r="C73" s="1279">
        <v>6.59E-2</v>
      </c>
      <c r="D73" s="1277"/>
    </row>
    <row r="74" spans="1:4">
      <c r="A74" s="1286" t="s">
        <v>1374</v>
      </c>
      <c r="B74" s="1286" t="s">
        <v>1375</v>
      </c>
      <c r="C74" s="1279">
        <v>0.05</v>
      </c>
      <c r="D74" s="1277"/>
    </row>
    <row r="75" spans="1:4">
      <c r="A75" s="1286" t="s">
        <v>1376</v>
      </c>
      <c r="B75" s="1286" t="s">
        <v>1375</v>
      </c>
      <c r="C75" s="1279">
        <v>6.6500000000000004E-2</v>
      </c>
      <c r="D75" s="1277"/>
    </row>
    <row r="76" spans="1:4">
      <c r="A76" s="1286"/>
      <c r="B76" s="1274"/>
      <c r="C76" s="1274"/>
      <c r="D76" s="1277"/>
    </row>
    <row r="77" spans="1:4" ht="16.5" customHeight="1">
      <c r="A77" s="1286"/>
      <c r="B77" s="1274"/>
      <c r="C77" s="1274"/>
      <c r="D77" s="1277"/>
    </row>
    <row r="78" spans="1:4">
      <c r="A78" s="1286"/>
      <c r="B78" s="1274"/>
      <c r="C78" s="1274"/>
      <c r="D78" s="1277"/>
    </row>
    <row r="79" spans="1:4">
      <c r="A79" s="1286"/>
      <c r="B79" s="1284" t="s">
        <v>1377</v>
      </c>
      <c r="C79" s="1285"/>
      <c r="D79" s="1277"/>
    </row>
    <row r="80" spans="1:4">
      <c r="A80" s="1286">
        <v>302</v>
      </c>
      <c r="B80" s="1286" t="s">
        <v>1378</v>
      </c>
      <c r="D80" s="1277"/>
    </row>
    <row r="81" spans="1:9">
      <c r="A81" s="1286">
        <v>303</v>
      </c>
      <c r="B81" s="1286" t="s">
        <v>1379</v>
      </c>
      <c r="D81" s="1277"/>
    </row>
    <row r="82" spans="1:9">
      <c r="A82" s="1352">
        <v>303.10000000000002</v>
      </c>
      <c r="B82" s="1352" t="s">
        <v>1411</v>
      </c>
      <c r="C82" s="1355">
        <f>1/2</f>
        <v>0.5</v>
      </c>
      <c r="D82" s="1277"/>
    </row>
    <row r="83" spans="1:9">
      <c r="A83" s="1352">
        <v>303.2</v>
      </c>
      <c r="B83" s="1352" t="s">
        <v>1380</v>
      </c>
      <c r="C83" s="1355">
        <v>0.33333333333333331</v>
      </c>
      <c r="D83" s="1277"/>
    </row>
    <row r="84" spans="1:9" ht="16.5" customHeight="1">
      <c r="A84" s="1352">
        <v>303.3</v>
      </c>
      <c r="B84" s="1352" t="s">
        <v>1381</v>
      </c>
      <c r="C84" s="1355">
        <v>0.25</v>
      </c>
      <c r="D84" s="1287"/>
      <c r="E84" s="1287"/>
      <c r="F84" s="1287"/>
      <c r="G84" s="1287"/>
      <c r="H84" s="1287"/>
      <c r="I84" s="1287"/>
    </row>
    <row r="85" spans="1:9">
      <c r="A85" s="1352">
        <v>303.39999999999998</v>
      </c>
      <c r="B85" s="1352" t="s">
        <v>1382</v>
      </c>
      <c r="C85" s="1355">
        <v>0.2</v>
      </c>
    </row>
    <row r="86" spans="1:9">
      <c r="A86" s="1352">
        <v>303.5</v>
      </c>
      <c r="B86" s="1352" t="s">
        <v>1383</v>
      </c>
      <c r="C86" s="1355">
        <v>0.14285714285714285</v>
      </c>
    </row>
    <row r="87" spans="1:9">
      <c r="A87" s="1352">
        <v>303.60000000000002</v>
      </c>
      <c r="B87" s="1352" t="s">
        <v>1384</v>
      </c>
      <c r="C87" s="1355">
        <v>0.1</v>
      </c>
      <c r="D87" s="1277"/>
    </row>
    <row r="88" spans="1:9">
      <c r="A88" s="1352">
        <v>303.7</v>
      </c>
      <c r="B88" s="1352" t="s">
        <v>1385</v>
      </c>
      <c r="C88" s="1355">
        <v>8.3333333333333329E-2</v>
      </c>
      <c r="D88" s="1277"/>
    </row>
    <row r="89" spans="1:9" ht="16.5" customHeight="1">
      <c r="A89" s="1352">
        <v>303.8</v>
      </c>
      <c r="B89" s="1352" t="s">
        <v>1386</v>
      </c>
      <c r="C89" s="1355">
        <v>6.6666666666666666E-2</v>
      </c>
      <c r="D89" s="1287"/>
      <c r="E89" s="1287"/>
      <c r="F89" s="1287"/>
      <c r="G89" s="1287"/>
      <c r="H89" s="1287"/>
      <c r="I89" s="1287"/>
    </row>
    <row r="90" spans="1:9">
      <c r="A90" s="1350"/>
      <c r="B90" s="1351"/>
    </row>
    <row r="91" spans="1:9">
      <c r="A91" s="1350"/>
      <c r="B91" s="1350"/>
    </row>
    <row r="92" spans="1:9">
      <c r="A92" s="1350"/>
      <c r="B92" s="1350"/>
    </row>
    <row r="93" spans="1:9">
      <c r="A93" s="1350"/>
      <c r="B93" s="1350"/>
    </row>
    <row r="94" spans="1:9">
      <c r="A94" s="1313" t="s">
        <v>1413</v>
      </c>
      <c r="B94" s="1356" t="s">
        <v>1414</v>
      </c>
      <c r="C94" s="1357"/>
    </row>
    <row r="95" spans="1:9">
      <c r="A95" s="1350"/>
      <c r="B95" s="1350"/>
    </row>
    <row r="96" spans="1:9">
      <c r="A96" s="1350"/>
      <c r="B96" s="1350"/>
    </row>
  </sheetData>
  <mergeCells count="2">
    <mergeCell ref="A1:C1"/>
    <mergeCell ref="A2:C2"/>
  </mergeCells>
  <pageMargins left="0.25" right="0.25" top="0.75" bottom="0.75" header="0.3" footer="0.3"/>
  <pageSetup scale="73" fitToHeight="2" orientation="landscape" r:id="rId1"/>
  <rowBreaks count="2" manualBreakCount="2">
    <brk id="47" max="3" man="1"/>
    <brk id="94"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B5E6-B1D4-44B1-A116-F8033DE3897E}">
  <sheetPr>
    <pageSetUpPr fitToPage="1"/>
  </sheetPr>
  <dimension ref="A1:R320"/>
  <sheetViews>
    <sheetView tabSelected="1" topLeftCell="A125" zoomScale="93" zoomScaleNormal="93" zoomScaleSheetLayoutView="55" workbookViewId="0">
      <selection activeCell="F148" sqref="F148"/>
    </sheetView>
  </sheetViews>
  <sheetFormatPr defaultRowHeight="12.75"/>
  <cols>
    <col min="1" max="1" width="5.7109375" style="1590" customWidth="1"/>
    <col min="2" max="2" width="11.42578125" style="1591" customWidth="1"/>
    <col min="3" max="3" width="75.140625" style="1590" customWidth="1"/>
    <col min="4" max="4" width="0.5703125" style="1590" customWidth="1"/>
    <col min="5" max="5" width="29.140625" style="1590" customWidth="1"/>
    <col min="6" max="6" width="26.42578125" style="1590" customWidth="1"/>
    <col min="7" max="7" width="18.85546875" style="1590" customWidth="1"/>
    <col min="8" max="8" width="27.85546875" style="1590" customWidth="1"/>
    <col min="9" max="9" width="28.85546875" style="1590" customWidth="1"/>
    <col min="10" max="10" width="85.7109375" style="1590" customWidth="1"/>
    <col min="11" max="11" width="5.7109375" style="1590" customWidth="1"/>
    <col min="12" max="12" width="15.85546875" style="1590" bestFit="1" customWidth="1"/>
    <col min="13" max="16384" width="9.140625" style="1590"/>
  </cols>
  <sheetData>
    <row r="1" spans="1:18" ht="15.75">
      <c r="A1" s="1872" t="s">
        <v>344</v>
      </c>
      <c r="B1" s="1872"/>
      <c r="C1" s="1872"/>
      <c r="D1" s="1872"/>
      <c r="E1" s="1872"/>
      <c r="F1" s="1872"/>
      <c r="G1" s="1872"/>
      <c r="H1" s="1872"/>
      <c r="I1" s="1872"/>
      <c r="J1" s="1872"/>
      <c r="K1" s="1872"/>
    </row>
    <row r="2" spans="1:18" ht="15.75">
      <c r="A2" s="1873" t="s">
        <v>1025</v>
      </c>
      <c r="B2" s="1873"/>
      <c r="C2" s="1873"/>
      <c r="D2" s="1873"/>
      <c r="E2" s="1873"/>
      <c r="F2" s="1873"/>
      <c r="G2" s="1873"/>
      <c r="H2" s="1873"/>
      <c r="I2" s="1873"/>
      <c r="J2" s="1873"/>
      <c r="K2" s="1873"/>
    </row>
    <row r="3" spans="1:18" ht="15.75">
      <c r="A3" s="1872" t="s">
        <v>1618</v>
      </c>
      <c r="B3" s="1872"/>
      <c r="C3" s="1872"/>
      <c r="D3" s="1872"/>
      <c r="E3" s="1872"/>
      <c r="F3" s="1872"/>
      <c r="G3" s="1872"/>
      <c r="H3" s="1872"/>
      <c r="I3" s="1872"/>
      <c r="J3" s="1872"/>
      <c r="K3" s="1872"/>
    </row>
    <row r="4" spans="1:18">
      <c r="B4" s="1740"/>
    </row>
    <row r="5" spans="1:18">
      <c r="I5" s="1741"/>
    </row>
    <row r="6" spans="1:18">
      <c r="B6" s="1874" t="s">
        <v>2005</v>
      </c>
      <c r="C6" s="1874"/>
      <c r="D6" s="1874"/>
      <c r="E6" s="1874"/>
      <c r="F6" s="1874"/>
      <c r="G6" s="1874"/>
      <c r="H6" s="1874"/>
      <c r="I6" s="1874"/>
      <c r="J6" s="1874"/>
    </row>
    <row r="7" spans="1:18">
      <c r="F7" s="1592" t="s">
        <v>1619</v>
      </c>
      <c r="G7" s="1742" t="s">
        <v>345</v>
      </c>
      <c r="H7" s="1742"/>
    </row>
    <row r="8" spans="1:18">
      <c r="F8" s="1592" t="s">
        <v>1620</v>
      </c>
      <c r="G8" s="1742" t="s">
        <v>275</v>
      </c>
      <c r="H8" s="1742" t="s">
        <v>346</v>
      </c>
      <c r="I8" s="1742" t="s">
        <v>347</v>
      </c>
    </row>
    <row r="9" spans="1:18">
      <c r="B9" s="1743" t="s">
        <v>693</v>
      </c>
      <c r="C9" s="1743" t="s">
        <v>1055</v>
      </c>
      <c r="E9" s="1744" t="s">
        <v>59</v>
      </c>
      <c r="F9" s="1744" t="s">
        <v>1621</v>
      </c>
      <c r="G9" s="1745" t="s">
        <v>348</v>
      </c>
      <c r="H9" s="1745" t="s">
        <v>348</v>
      </c>
      <c r="I9" s="1745" t="s">
        <v>348</v>
      </c>
    </row>
    <row r="10" spans="1:18" ht="5.0999999999999996" customHeight="1"/>
    <row r="11" spans="1:18">
      <c r="B11" s="1591">
        <v>1</v>
      </c>
      <c r="C11" s="1746" t="s">
        <v>350</v>
      </c>
      <c r="E11" s="1593">
        <f>F11+G11+H11+I11</f>
        <v>3954323.86023639</v>
      </c>
      <c r="F11" s="1593">
        <f>F80</f>
        <v>0</v>
      </c>
      <c r="G11" s="1593">
        <f>G80</f>
        <v>1169394.8447768998</v>
      </c>
      <c r="H11" s="1593">
        <f>H80</f>
        <v>760982.72259194602</v>
      </c>
      <c r="I11" s="1593">
        <f>I80</f>
        <v>2023946.2928675441</v>
      </c>
    </row>
    <row r="12" spans="1:18">
      <c r="B12" s="1591">
        <f>B11+1</f>
        <v>2</v>
      </c>
      <c r="C12" s="1746" t="s">
        <v>1056</v>
      </c>
      <c r="E12" s="1593">
        <f>F12+G12+H12+I12</f>
        <v>0</v>
      </c>
      <c r="F12" s="1593">
        <v>0</v>
      </c>
      <c r="G12" s="1593">
        <v>0</v>
      </c>
      <c r="H12" s="1593">
        <v>0</v>
      </c>
      <c r="I12" s="1593">
        <v>0</v>
      </c>
      <c r="O12" s="1747"/>
      <c r="P12" s="1747"/>
      <c r="Q12" s="1747"/>
      <c r="R12" s="1747"/>
    </row>
    <row r="13" spans="1:18">
      <c r="B13" s="1591">
        <f>B12+1</f>
        <v>3</v>
      </c>
      <c r="C13" s="1746" t="s">
        <v>1057</v>
      </c>
      <c r="E13" s="1593">
        <f>F13+G13+H13+I13</f>
        <v>-138442897.68603203</v>
      </c>
      <c r="F13" s="1593">
        <f>F151</f>
        <v>0</v>
      </c>
      <c r="G13" s="1593">
        <f>G151</f>
        <v>0</v>
      </c>
      <c r="H13" s="1593">
        <f>H151</f>
        <v>-138442897.68603203</v>
      </c>
      <c r="I13" s="1593">
        <f>I151</f>
        <v>0</v>
      </c>
      <c r="O13" s="1747"/>
      <c r="P13" s="1747"/>
      <c r="Q13" s="1747"/>
      <c r="R13" s="1747"/>
    </row>
    <row r="14" spans="1:18">
      <c r="B14" s="1591">
        <f>B13+1</f>
        <v>4</v>
      </c>
      <c r="C14" s="1746" t="s">
        <v>349</v>
      </c>
      <c r="E14" s="1593">
        <f>F14+G14+H14+I14</f>
        <v>-10042039.854855573</v>
      </c>
      <c r="F14" s="1593">
        <f>F226</f>
        <v>0</v>
      </c>
      <c r="G14" s="1593">
        <f>G226</f>
        <v>0</v>
      </c>
      <c r="H14" s="1593">
        <f>H226</f>
        <v>-1392669.1888891421</v>
      </c>
      <c r="I14" s="1593">
        <f>I226</f>
        <v>-8649370.6659664307</v>
      </c>
      <c r="O14" s="1747"/>
      <c r="P14" s="1747"/>
      <c r="Q14" s="1747"/>
      <c r="R14" s="1747"/>
    </row>
    <row r="15" spans="1:18">
      <c r="B15" s="1591">
        <f>B14+1</f>
        <v>5</v>
      </c>
      <c r="C15" s="1746" t="s">
        <v>378</v>
      </c>
      <c r="E15" s="1593">
        <f>F15+G15+H15+I15</f>
        <v>0</v>
      </c>
      <c r="F15" s="1593">
        <f>F297</f>
        <v>0</v>
      </c>
      <c r="G15" s="1593">
        <f>G297</f>
        <v>0</v>
      </c>
      <c r="H15" s="1593">
        <f>H297</f>
        <v>0</v>
      </c>
      <c r="I15" s="1593">
        <f>I297</f>
        <v>0</v>
      </c>
      <c r="O15" s="1747"/>
      <c r="P15" s="1747"/>
      <c r="Q15" s="1747"/>
      <c r="R15" s="1747"/>
    </row>
    <row r="16" spans="1:18" ht="5.0999999999999996" customHeight="1">
      <c r="E16" s="1594"/>
      <c r="F16" s="1594"/>
      <c r="G16" s="1594"/>
      <c r="H16" s="1594"/>
      <c r="I16" s="1594"/>
    </row>
    <row r="17" spans="2:10">
      <c r="B17" s="1591">
        <f>B16+6</f>
        <v>6</v>
      </c>
      <c r="C17" s="1748" t="s">
        <v>1058</v>
      </c>
      <c r="E17" s="1593">
        <f>E11+E12+E13+E14+E15</f>
        <v>-144530613.68065122</v>
      </c>
      <c r="F17" s="1593">
        <f>F11+F12+F13+F14+F15</f>
        <v>0</v>
      </c>
      <c r="G17" s="1593">
        <f>G11+G12+G13+G14+G15</f>
        <v>1169394.8447768998</v>
      </c>
      <c r="H17" s="1593">
        <f>H11+H12+H13+H14+H15</f>
        <v>-139074584.15232924</v>
      </c>
      <c r="I17" s="1593">
        <f>I11+I12+I13+I14+I15</f>
        <v>-6625424.3730988866</v>
      </c>
      <c r="J17" s="1749"/>
    </row>
    <row r="18" spans="2:10">
      <c r="C18" s="1591"/>
      <c r="F18" s="1747"/>
      <c r="G18" s="1747"/>
      <c r="H18" s="1747"/>
      <c r="I18" s="1595"/>
    </row>
    <row r="19" spans="2:10">
      <c r="C19" s="1591"/>
      <c r="F19" s="1747"/>
      <c r="G19" s="1747"/>
      <c r="H19" s="1747"/>
      <c r="I19" s="1595"/>
    </row>
    <row r="20" spans="2:10">
      <c r="B20" s="1750" t="s">
        <v>693</v>
      </c>
      <c r="C20" s="1750" t="s">
        <v>1622</v>
      </c>
      <c r="D20" s="467"/>
      <c r="E20" s="1744" t="s">
        <v>59</v>
      </c>
      <c r="F20" s="467"/>
      <c r="G20" s="467"/>
      <c r="H20" s="467"/>
      <c r="I20" s="1596"/>
    </row>
    <row r="21" spans="2:10">
      <c r="B21" s="467"/>
      <c r="C21" s="467"/>
      <c r="D21" s="467"/>
      <c r="E21" s="467"/>
      <c r="F21" s="467"/>
      <c r="G21" s="467"/>
      <c r="H21" s="467"/>
      <c r="I21" s="1596"/>
    </row>
    <row r="22" spans="2:10">
      <c r="B22" s="1751">
        <f>B17+1</f>
        <v>7</v>
      </c>
      <c r="C22" s="1590" t="s">
        <v>1623</v>
      </c>
      <c r="E22" s="1593">
        <f>-3046798</f>
        <v>-3046798</v>
      </c>
      <c r="I22" s="1752"/>
    </row>
    <row r="23" spans="2:10">
      <c r="B23" s="1590"/>
    </row>
    <row r="24" spans="2:10" ht="12.75" customHeight="1">
      <c r="B24" s="1875" t="s">
        <v>1624</v>
      </c>
      <c r="C24" s="1875"/>
      <c r="D24" s="1875"/>
      <c r="E24" s="1875"/>
      <c r="F24" s="1875"/>
      <c r="G24" s="1875"/>
      <c r="H24" s="1875"/>
      <c r="I24" s="1875"/>
    </row>
    <row r="25" spans="2:10">
      <c r="B25" s="1875"/>
      <c r="C25" s="1875"/>
      <c r="D25" s="1875"/>
      <c r="E25" s="1875"/>
      <c r="F25" s="1875"/>
      <c r="G25" s="1875"/>
      <c r="H25" s="1875"/>
      <c r="I25" s="1875"/>
    </row>
    <row r="26" spans="2:10">
      <c r="B26" s="1875"/>
      <c r="C26" s="1875"/>
      <c r="D26" s="1875"/>
      <c r="E26" s="1875"/>
      <c r="F26" s="1875"/>
      <c r="G26" s="1875"/>
      <c r="H26" s="1875"/>
      <c r="I26" s="1875"/>
    </row>
    <row r="27" spans="2:10">
      <c r="B27" s="467"/>
      <c r="C27" s="467"/>
      <c r="D27" s="467"/>
      <c r="E27" s="467"/>
      <c r="F27" s="467"/>
      <c r="G27" s="467"/>
      <c r="H27" s="467"/>
      <c r="I27" s="1596"/>
    </row>
    <row r="29" spans="2:10" ht="15" customHeight="1">
      <c r="B29" s="1875" t="s">
        <v>1625</v>
      </c>
      <c r="C29" s="1875"/>
      <c r="D29" s="1875"/>
      <c r="E29" s="1875"/>
      <c r="F29" s="1875"/>
      <c r="G29" s="1875"/>
      <c r="H29" s="1875"/>
      <c r="I29" s="1875"/>
      <c r="J29" s="1753"/>
    </row>
    <row r="30" spans="2:10">
      <c r="B30" s="1875"/>
      <c r="C30" s="1875"/>
      <c r="D30" s="1875"/>
      <c r="E30" s="1875"/>
      <c r="F30" s="1875"/>
      <c r="G30" s="1875"/>
      <c r="H30" s="1875"/>
      <c r="I30" s="1875"/>
      <c r="J30" s="1753"/>
    </row>
    <row r="31" spans="2:10">
      <c r="B31" s="1875"/>
      <c r="C31" s="1875"/>
      <c r="D31" s="1875"/>
      <c r="E31" s="1875"/>
      <c r="F31" s="1875"/>
      <c r="G31" s="1875"/>
      <c r="H31" s="1875"/>
      <c r="I31" s="1875"/>
      <c r="J31" s="1753"/>
    </row>
    <row r="32" spans="2:10">
      <c r="I32" s="1741"/>
    </row>
    <row r="33" spans="2:10">
      <c r="B33" s="1592" t="s">
        <v>216</v>
      </c>
      <c r="C33" s="1592"/>
      <c r="D33" s="1592"/>
      <c r="E33" s="1592" t="s">
        <v>217</v>
      </c>
      <c r="F33" s="1592" t="s">
        <v>1296</v>
      </c>
      <c r="G33" s="1592" t="s">
        <v>1580</v>
      </c>
      <c r="H33" s="1592" t="s">
        <v>1581</v>
      </c>
      <c r="I33" s="1592" t="s">
        <v>1582</v>
      </c>
      <c r="J33" s="1592" t="s">
        <v>1583</v>
      </c>
    </row>
    <row r="34" spans="2:10">
      <c r="B34" s="1748"/>
      <c r="C34" s="467"/>
      <c r="D34" s="467"/>
      <c r="E34" s="1592"/>
      <c r="F34" s="1592" t="s">
        <v>1619</v>
      </c>
      <c r="G34" s="1592" t="s">
        <v>345</v>
      </c>
      <c r="H34" s="1592"/>
      <c r="I34" s="1592"/>
      <c r="J34" s="467"/>
    </row>
    <row r="35" spans="2:10">
      <c r="B35" s="1754"/>
      <c r="C35" s="467"/>
      <c r="D35" s="467"/>
      <c r="E35" s="1592"/>
      <c r="F35" s="1592" t="s">
        <v>1620</v>
      </c>
      <c r="G35" s="1592" t="s">
        <v>275</v>
      </c>
      <c r="H35" s="1592" t="s">
        <v>346</v>
      </c>
      <c r="I35" s="1592" t="s">
        <v>347</v>
      </c>
      <c r="J35" s="467"/>
    </row>
    <row r="36" spans="2:10">
      <c r="B36" s="1748" t="s">
        <v>1059</v>
      </c>
      <c r="C36" s="467"/>
      <c r="D36" s="467"/>
      <c r="E36" s="1592" t="s">
        <v>59</v>
      </c>
      <c r="F36" s="1744" t="s">
        <v>1621</v>
      </c>
      <c r="G36" s="1592" t="s">
        <v>348</v>
      </c>
      <c r="H36" s="1592" t="s">
        <v>348</v>
      </c>
      <c r="I36" s="1592" t="s">
        <v>348</v>
      </c>
      <c r="J36" s="1592" t="s">
        <v>352</v>
      </c>
    </row>
    <row r="37" spans="2:10" ht="25.5">
      <c r="B37" s="1755" t="s">
        <v>1900</v>
      </c>
      <c r="C37" s="1756"/>
      <c r="D37" s="1757"/>
      <c r="E37" s="1758">
        <f>SUM(F37:I37)</f>
        <v>2087291.6356790999</v>
      </c>
      <c r="F37" s="1758">
        <v>0</v>
      </c>
      <c r="G37" s="1758">
        <v>0</v>
      </c>
      <c r="H37" s="1758">
        <v>0</v>
      </c>
      <c r="I37" s="1758">
        <v>2087291.6356790999</v>
      </c>
      <c r="J37" s="1853" t="s">
        <v>1934</v>
      </c>
    </row>
    <row r="38" spans="2:10" ht="25.5">
      <c r="B38" s="1755" t="s">
        <v>1236</v>
      </c>
      <c r="C38" s="1756"/>
      <c r="D38" s="1757"/>
      <c r="E38" s="1758">
        <f t="shared" ref="E38:E66" si="0">SUM(F38:I38)</f>
        <v>4426630.7070963001</v>
      </c>
      <c r="F38" s="1758">
        <v>0</v>
      </c>
      <c r="G38" s="1758">
        <v>0</v>
      </c>
      <c r="H38" s="1758">
        <v>0</v>
      </c>
      <c r="I38" s="1758">
        <v>4426630.7070963001</v>
      </c>
      <c r="J38" s="1853" t="s">
        <v>1934</v>
      </c>
    </row>
    <row r="39" spans="2:10">
      <c r="B39" s="1755" t="s">
        <v>1901</v>
      </c>
      <c r="C39" s="1756"/>
      <c r="D39" s="1757"/>
      <c r="E39" s="1758">
        <f t="shared" si="0"/>
        <v>11628674.542865699</v>
      </c>
      <c r="F39" s="1758">
        <v>11628674.542865699</v>
      </c>
      <c r="G39" s="1758">
        <v>0</v>
      </c>
      <c r="H39" s="1758">
        <v>0</v>
      </c>
      <c r="I39" s="1758">
        <v>0</v>
      </c>
      <c r="J39" s="1853" t="s">
        <v>1935</v>
      </c>
    </row>
    <row r="40" spans="2:10">
      <c r="B40" s="1755" t="s">
        <v>1997</v>
      </c>
      <c r="C40" s="1756"/>
      <c r="D40" s="1757"/>
      <c r="E40" s="1758">
        <f t="shared" si="0"/>
        <v>34446.25</v>
      </c>
      <c r="F40" s="1758">
        <v>34446.25</v>
      </c>
      <c r="G40" s="1758">
        <v>0</v>
      </c>
      <c r="H40" s="1758">
        <v>0</v>
      </c>
      <c r="I40" s="1758">
        <v>0</v>
      </c>
      <c r="J40" s="1853" t="s">
        <v>1935</v>
      </c>
    </row>
    <row r="41" spans="2:10">
      <c r="B41" s="1755" t="s">
        <v>1906</v>
      </c>
      <c r="C41" s="1756"/>
      <c r="D41" s="1757"/>
      <c r="E41" s="1758">
        <f t="shared" si="0"/>
        <v>27557000</v>
      </c>
      <c r="F41" s="1758">
        <v>27557000</v>
      </c>
      <c r="G41" s="1758">
        <v>0</v>
      </c>
      <c r="H41" s="1758">
        <v>0</v>
      </c>
      <c r="I41" s="1758">
        <v>0</v>
      </c>
      <c r="J41" s="1853" t="s">
        <v>1935</v>
      </c>
    </row>
    <row r="42" spans="2:10" ht="51">
      <c r="B42" s="1755" t="s">
        <v>1902</v>
      </c>
      <c r="C42" s="1756"/>
      <c r="D42" s="1757"/>
      <c r="E42" s="1758">
        <f t="shared" si="0"/>
        <v>4556490.7603197005</v>
      </c>
      <c r="F42" s="1758">
        <v>0</v>
      </c>
      <c r="G42" s="1758">
        <v>0</v>
      </c>
      <c r="H42" s="1758">
        <v>0</v>
      </c>
      <c r="I42" s="1758">
        <v>4556490.7603197005</v>
      </c>
      <c r="J42" s="1853" t="s">
        <v>1936</v>
      </c>
    </row>
    <row r="43" spans="2:10">
      <c r="B43" s="1755" t="s">
        <v>1905</v>
      </c>
      <c r="C43" s="1756"/>
      <c r="D43" s="1757"/>
      <c r="E43" s="1758">
        <f t="shared" si="0"/>
        <v>5503417.5307415994</v>
      </c>
      <c r="F43" s="1758">
        <v>5503417.5307415994</v>
      </c>
      <c r="G43" s="1758">
        <v>0</v>
      </c>
      <c r="H43" s="1758">
        <v>0</v>
      </c>
      <c r="I43" s="1758">
        <v>0</v>
      </c>
      <c r="J43" s="1853" t="s">
        <v>1935</v>
      </c>
    </row>
    <row r="44" spans="2:10" ht="25.5">
      <c r="B44" s="1755" t="s">
        <v>1903</v>
      </c>
      <c r="C44" s="1756"/>
      <c r="D44" s="1757"/>
      <c r="E44" s="1758">
        <f t="shared" si="0"/>
        <v>318629.44387439993</v>
      </c>
      <c r="F44" s="1758">
        <v>0</v>
      </c>
      <c r="G44" s="1758">
        <v>0</v>
      </c>
      <c r="H44" s="1758">
        <v>0</v>
      </c>
      <c r="I44" s="1758">
        <v>318629.44387439993</v>
      </c>
      <c r="J44" s="1853" t="s">
        <v>1934</v>
      </c>
    </row>
    <row r="45" spans="2:10" ht="25.5">
      <c r="B45" s="1755" t="s">
        <v>1539</v>
      </c>
      <c r="C45" s="1756"/>
      <c r="D45" s="1757"/>
      <c r="E45" s="1758">
        <f t="shared" si="0"/>
        <v>4133.5527556999996</v>
      </c>
      <c r="F45" s="1758">
        <v>0</v>
      </c>
      <c r="G45" s="1758">
        <v>0</v>
      </c>
      <c r="H45" s="1758">
        <v>0</v>
      </c>
      <c r="I45" s="1758">
        <v>4133.5527556999996</v>
      </c>
      <c r="J45" s="1853" t="s">
        <v>1934</v>
      </c>
    </row>
    <row r="46" spans="2:10" ht="25.5">
      <c r="B46" s="1755" t="s">
        <v>1783</v>
      </c>
      <c r="C46" s="1756"/>
      <c r="D46" s="1757"/>
      <c r="E46" s="1758">
        <f t="shared" si="0"/>
        <v>22785.847156799995</v>
      </c>
      <c r="F46" s="1758">
        <v>0</v>
      </c>
      <c r="G46" s="1758">
        <v>0</v>
      </c>
      <c r="H46" s="1758">
        <v>0</v>
      </c>
      <c r="I46" s="1758">
        <v>22785.847156799995</v>
      </c>
      <c r="J46" s="1853" t="s">
        <v>1934</v>
      </c>
    </row>
    <row r="47" spans="2:10" ht="25.5">
      <c r="B47" s="1755" t="s">
        <v>1238</v>
      </c>
      <c r="C47" s="1756"/>
      <c r="D47" s="1757"/>
      <c r="E47" s="1758">
        <f t="shared" si="0"/>
        <v>2041849.2796423086</v>
      </c>
      <c r="F47" s="1758">
        <v>0</v>
      </c>
      <c r="G47" s="1758">
        <v>0</v>
      </c>
      <c r="H47" s="1758">
        <v>0</v>
      </c>
      <c r="I47" s="1758">
        <v>2041849.2796423086</v>
      </c>
      <c r="J47" s="1853" t="s">
        <v>1934</v>
      </c>
    </row>
    <row r="48" spans="2:10" ht="25.5">
      <c r="B48" s="1755" t="s">
        <v>1904</v>
      </c>
      <c r="C48" s="1756"/>
      <c r="D48" s="1757"/>
      <c r="E48" s="1758">
        <f t="shared" si="0"/>
        <v>9577432.5887885988</v>
      </c>
      <c r="F48" s="1758">
        <v>0</v>
      </c>
      <c r="G48" s="1758">
        <v>0</v>
      </c>
      <c r="H48" s="1758">
        <v>0</v>
      </c>
      <c r="I48" s="1758">
        <v>9577432.5887885988</v>
      </c>
      <c r="J48" s="1853" t="s">
        <v>1934</v>
      </c>
    </row>
    <row r="49" spans="2:10">
      <c r="B49" s="1755" t="s">
        <v>354</v>
      </c>
      <c r="C49" s="1756"/>
      <c r="D49" s="1757"/>
      <c r="E49" s="1758">
        <f t="shared" si="0"/>
        <v>12427491.821446098</v>
      </c>
      <c r="F49" s="1758">
        <v>12427491.821446098</v>
      </c>
      <c r="G49" s="1758">
        <v>0</v>
      </c>
      <c r="H49" s="1758">
        <v>0</v>
      </c>
      <c r="I49" s="1758">
        <v>0</v>
      </c>
      <c r="J49" s="1853" t="s">
        <v>1935</v>
      </c>
    </row>
    <row r="50" spans="2:10">
      <c r="B50" s="1755" t="s">
        <v>1907</v>
      </c>
      <c r="C50" s="1756"/>
      <c r="D50" s="1757"/>
      <c r="E50" s="1758">
        <f t="shared" si="0"/>
        <v>10726486.126543198</v>
      </c>
      <c r="F50" s="1758">
        <v>10726486.126543198</v>
      </c>
      <c r="G50" s="1758">
        <v>0</v>
      </c>
      <c r="H50" s="1758">
        <v>0</v>
      </c>
      <c r="I50" s="1758">
        <v>0</v>
      </c>
      <c r="J50" s="1853" t="s">
        <v>1935</v>
      </c>
    </row>
    <row r="51" spans="2:10">
      <c r="B51" s="1755" t="s">
        <v>353</v>
      </c>
      <c r="C51" s="1756"/>
      <c r="D51" s="1757"/>
      <c r="E51" s="1758">
        <f t="shared" si="0"/>
        <v>681968.10307639744</v>
      </c>
      <c r="F51" s="1758">
        <v>681968.10307639744</v>
      </c>
      <c r="G51" s="1758">
        <v>0</v>
      </c>
      <c r="H51" s="1758">
        <v>0</v>
      </c>
      <c r="I51" s="1758">
        <v>0</v>
      </c>
      <c r="J51" s="1853" t="s">
        <v>1935</v>
      </c>
    </row>
    <row r="52" spans="2:10">
      <c r="B52" s="1755" t="s">
        <v>1998</v>
      </c>
      <c r="C52" s="1756"/>
      <c r="D52" s="1757"/>
      <c r="E52" s="1758">
        <f t="shared" si="0"/>
        <v>26172666.838219095</v>
      </c>
      <c r="F52" s="1758">
        <v>26172666.838219095</v>
      </c>
      <c r="G52" s="1758">
        <v>0</v>
      </c>
      <c r="H52" s="1758">
        <v>0</v>
      </c>
      <c r="I52" s="1758">
        <v>0</v>
      </c>
      <c r="J52" s="1853" t="s">
        <v>1935</v>
      </c>
    </row>
    <row r="53" spans="2:10" ht="25.5">
      <c r="B53" s="1755" t="s">
        <v>1908</v>
      </c>
      <c r="C53" s="1756"/>
      <c r="D53" s="1757"/>
      <c r="E53" s="1758">
        <f t="shared" si="0"/>
        <v>22741.9709014</v>
      </c>
      <c r="F53" s="1758">
        <v>0</v>
      </c>
      <c r="G53" s="1758">
        <v>0</v>
      </c>
      <c r="H53" s="1758">
        <v>0</v>
      </c>
      <c r="I53" s="1758">
        <v>22741.9709014</v>
      </c>
      <c r="J53" s="1853" t="s">
        <v>1934</v>
      </c>
    </row>
    <row r="54" spans="2:10">
      <c r="B54" s="1755" t="s">
        <v>1812</v>
      </c>
      <c r="C54" s="1756"/>
      <c r="D54" s="1757"/>
      <c r="E54" s="1758">
        <f t="shared" si="0"/>
        <v>-196229.93859649979</v>
      </c>
      <c r="F54" s="1758">
        <v>-196229.93859649979</v>
      </c>
      <c r="G54" s="1758">
        <v>0</v>
      </c>
      <c r="H54" s="1758">
        <v>0</v>
      </c>
      <c r="I54" s="1758">
        <v>0</v>
      </c>
      <c r="J54" s="1853" t="s">
        <v>1935</v>
      </c>
    </row>
    <row r="55" spans="2:10">
      <c r="B55" s="1755" t="s">
        <v>1909</v>
      </c>
      <c r="C55" s="1756"/>
      <c r="D55" s="1757"/>
      <c r="E55" s="1758">
        <f t="shared" si="0"/>
        <v>2819936.6484005</v>
      </c>
      <c r="F55" s="1758">
        <v>2819936.6484005</v>
      </c>
      <c r="G55" s="1758">
        <v>0</v>
      </c>
      <c r="H55" s="1758">
        <v>0</v>
      </c>
      <c r="I55" s="1758">
        <v>0</v>
      </c>
      <c r="J55" s="1853" t="s">
        <v>1935</v>
      </c>
    </row>
    <row r="56" spans="2:10">
      <c r="B56" s="1755" t="s">
        <v>1405</v>
      </c>
      <c r="C56" s="1756"/>
      <c r="D56" s="1757"/>
      <c r="E56" s="1758">
        <f t="shared" si="0"/>
        <v>0</v>
      </c>
      <c r="F56" s="1758">
        <v>0</v>
      </c>
      <c r="G56" s="1758">
        <v>0</v>
      </c>
      <c r="H56" s="1758">
        <v>0</v>
      </c>
      <c r="I56" s="1758">
        <v>0</v>
      </c>
      <c r="J56" s="1853" t="s">
        <v>1935</v>
      </c>
    </row>
    <row r="57" spans="2:10">
      <c r="B57" s="1755" t="s">
        <v>1910</v>
      </c>
      <c r="C57" s="1756"/>
      <c r="D57" s="1757"/>
      <c r="E57" s="1758">
        <f t="shared" si="0"/>
        <v>2010031.4746747003</v>
      </c>
      <c r="F57" s="1758">
        <v>2010031.4746747003</v>
      </c>
      <c r="G57" s="1758">
        <v>0</v>
      </c>
      <c r="H57" s="1758">
        <v>0</v>
      </c>
      <c r="I57" s="1758">
        <v>0</v>
      </c>
      <c r="J57" s="1853" t="s">
        <v>1935</v>
      </c>
    </row>
    <row r="58" spans="2:10">
      <c r="B58" s="1755" t="s">
        <v>1999</v>
      </c>
      <c r="C58" s="1756"/>
      <c r="D58" s="1757"/>
      <c r="E58" s="1758">
        <f t="shared" si="0"/>
        <v>1169394.8447768998</v>
      </c>
      <c r="F58" s="1758">
        <v>0</v>
      </c>
      <c r="G58" s="1758">
        <v>1169394.8447768998</v>
      </c>
      <c r="H58" s="1758">
        <v>0</v>
      </c>
      <c r="I58" s="1758">
        <v>0</v>
      </c>
      <c r="J58" s="1853"/>
    </row>
    <row r="59" spans="2:10">
      <c r="B59" s="1755" t="s">
        <v>1911</v>
      </c>
      <c r="C59" s="1756"/>
      <c r="D59" s="1757"/>
      <c r="E59" s="1758">
        <f t="shared" si="0"/>
        <v>28593.038483399996</v>
      </c>
      <c r="F59" s="1758">
        <v>28593.038483399996</v>
      </c>
      <c r="G59" s="1758">
        <v>0</v>
      </c>
      <c r="H59" s="1758">
        <v>0</v>
      </c>
      <c r="I59" s="1758">
        <v>0</v>
      </c>
      <c r="J59" s="1853" t="s">
        <v>1935</v>
      </c>
    </row>
    <row r="60" spans="2:10">
      <c r="B60" s="1755" t="s">
        <v>2000</v>
      </c>
      <c r="C60" s="1756"/>
      <c r="D60" s="1757"/>
      <c r="E60" s="1758">
        <f t="shared" si="0"/>
        <v>-449</v>
      </c>
      <c r="F60" s="1758">
        <v>-449</v>
      </c>
      <c r="G60" s="1758">
        <v>0</v>
      </c>
      <c r="H60" s="1758">
        <v>0</v>
      </c>
      <c r="I60" s="1758">
        <v>0</v>
      </c>
      <c r="J60" s="1853"/>
    </row>
    <row r="61" spans="2:10">
      <c r="B61" s="1755" t="s">
        <v>1913</v>
      </c>
      <c r="C61" s="1756"/>
      <c r="D61" s="1757"/>
      <c r="E61" s="1758">
        <f t="shared" si="0"/>
        <v>18262.621090000001</v>
      </c>
      <c r="F61" s="1758">
        <v>18262.621090000001</v>
      </c>
      <c r="G61" s="1758">
        <v>0</v>
      </c>
      <c r="H61" s="1758">
        <v>0</v>
      </c>
      <c r="I61" s="1758">
        <v>0</v>
      </c>
      <c r="J61" s="1853" t="s">
        <v>1935</v>
      </c>
    </row>
    <row r="62" spans="2:10" ht="25.5">
      <c r="B62" s="1755" t="s">
        <v>1912</v>
      </c>
      <c r="C62" s="1756"/>
      <c r="D62" s="1757"/>
      <c r="E62" s="1758">
        <f t="shared" si="0"/>
        <v>4121622.0503296969</v>
      </c>
      <c r="F62" s="1758">
        <v>0</v>
      </c>
      <c r="G62" s="1758">
        <v>0</v>
      </c>
      <c r="H62" s="1758">
        <v>4121622.0503296969</v>
      </c>
      <c r="I62" s="1758">
        <v>0</v>
      </c>
      <c r="J62" s="1853" t="s">
        <v>1937</v>
      </c>
    </row>
    <row r="63" spans="2:10" ht="51">
      <c r="B63" s="1755" t="s">
        <v>1914</v>
      </c>
      <c r="C63" s="1756"/>
      <c r="D63" s="1757"/>
      <c r="E63" s="1758">
        <f t="shared" si="0"/>
        <v>425180.81097999995</v>
      </c>
      <c r="F63" s="1758">
        <v>0</v>
      </c>
      <c r="G63" s="1758">
        <v>0</v>
      </c>
      <c r="H63" s="1758">
        <v>425180.81097999995</v>
      </c>
      <c r="I63" s="1758">
        <v>0</v>
      </c>
      <c r="J63" s="1853" t="s">
        <v>1938</v>
      </c>
    </row>
    <row r="64" spans="2:10">
      <c r="B64" s="1755" t="s">
        <v>1926</v>
      </c>
      <c r="C64" s="1756"/>
      <c r="D64" s="1757"/>
      <c r="E64" s="1758">
        <f t="shared" si="0"/>
        <v>40582</v>
      </c>
      <c r="F64" s="1758">
        <v>40582</v>
      </c>
      <c r="G64" s="1758">
        <v>0</v>
      </c>
      <c r="H64" s="1758">
        <v>0</v>
      </c>
      <c r="I64" s="1758">
        <v>0</v>
      </c>
      <c r="J64" s="1853" t="s">
        <v>1935</v>
      </c>
    </row>
    <row r="65" spans="2:10" ht="38.25">
      <c r="B65" s="1755" t="s">
        <v>1927</v>
      </c>
      <c r="C65" s="1756"/>
      <c r="D65" s="1757"/>
      <c r="E65" s="1758">
        <f t="shared" si="0"/>
        <v>167958137.97124839</v>
      </c>
      <c r="F65" s="1758">
        <v>167958137.97124839</v>
      </c>
      <c r="G65" s="1758">
        <v>0</v>
      </c>
      <c r="H65" s="1758">
        <v>0</v>
      </c>
      <c r="I65" s="1758">
        <v>0</v>
      </c>
      <c r="J65" s="1853" t="s">
        <v>1939</v>
      </c>
    </row>
    <row r="66" spans="2:10">
      <c r="B66" s="1755"/>
      <c r="C66" s="1756"/>
      <c r="D66" s="1757"/>
      <c r="E66" s="1758">
        <f t="shared" si="0"/>
        <v>0</v>
      </c>
      <c r="F66" s="1758">
        <v>0</v>
      </c>
      <c r="G66" s="1758">
        <v>0</v>
      </c>
      <c r="H66" s="1758">
        <v>0</v>
      </c>
      <c r="I66" s="1758">
        <v>0</v>
      </c>
      <c r="J66" s="1853"/>
    </row>
    <row r="67" spans="2:10">
      <c r="B67" s="1601" t="s">
        <v>1060</v>
      </c>
      <c r="C67" s="1759"/>
      <c r="D67" s="1760"/>
      <c r="E67" s="1602">
        <f>SUM(E37:E66)</f>
        <v>296185199.52049351</v>
      </c>
      <c r="F67" s="1602">
        <f>SUM(F37:F66)</f>
        <v>267411016.02819258</v>
      </c>
      <c r="G67" s="1602">
        <f>SUM(G37:G66)</f>
        <v>1169394.8447768998</v>
      </c>
      <c r="H67" s="1602">
        <f>SUM(H37:H66)</f>
        <v>4546802.8613096969</v>
      </c>
      <c r="I67" s="1602">
        <f>SUM(I37:I66)</f>
        <v>23057985.786214307</v>
      </c>
      <c r="J67" s="1761"/>
    </row>
    <row r="68" spans="2:10">
      <c r="B68" s="1603"/>
      <c r="C68" s="1760"/>
      <c r="D68" s="1760"/>
      <c r="E68" s="1602"/>
      <c r="F68" s="1602"/>
      <c r="G68" s="1602"/>
      <c r="H68" s="1602"/>
      <c r="I68" s="1602"/>
      <c r="J68" s="1761"/>
    </row>
    <row r="69" spans="2:10">
      <c r="B69" s="1604" t="s">
        <v>1626</v>
      </c>
      <c r="C69" s="1762"/>
      <c r="D69" s="1762"/>
      <c r="E69" s="1605">
        <f>SUM(F69:I69)</f>
        <v>0</v>
      </c>
      <c r="F69" s="1599"/>
      <c r="G69" s="1599"/>
      <c r="H69" s="1599"/>
      <c r="I69" s="1599"/>
      <c r="J69" s="1606"/>
    </row>
    <row r="70" spans="2:10">
      <c r="B70" s="1604" t="s">
        <v>1627</v>
      </c>
      <c r="C70" s="1762"/>
      <c r="D70" s="1762"/>
      <c r="E70" s="1605">
        <f t="shared" ref="E70:E72" si="1">SUM(F70:I70)</f>
        <v>-425180.81097999995</v>
      </c>
      <c r="F70" s="1599">
        <v>0</v>
      </c>
      <c r="G70" s="1599">
        <v>0</v>
      </c>
      <c r="H70" s="1599">
        <v>-425180.81097999995</v>
      </c>
      <c r="I70" s="1599">
        <f t="shared" ref="I70" si="2">-I64</f>
        <v>0</v>
      </c>
      <c r="J70" s="1606"/>
    </row>
    <row r="71" spans="2:10">
      <c r="B71" s="1604" t="s">
        <v>1628</v>
      </c>
      <c r="C71" s="1762"/>
      <c r="D71" s="1762"/>
      <c r="E71" s="1605">
        <f t="shared" si="1"/>
        <v>-167958137.97124839</v>
      </c>
      <c r="F71" s="1599">
        <v>-167958137.97124839</v>
      </c>
      <c r="G71" s="1599">
        <v>0</v>
      </c>
      <c r="H71" s="1599">
        <v>0</v>
      </c>
      <c r="I71" s="1599">
        <f>-I66</f>
        <v>0</v>
      </c>
      <c r="J71" s="1606"/>
    </row>
    <row r="72" spans="2:10">
      <c r="B72" s="1604" t="s">
        <v>1138</v>
      </c>
      <c r="C72" s="1762"/>
      <c r="D72" s="1762"/>
      <c r="E72" s="1605">
        <f t="shared" si="1"/>
        <v>-4556490.7603197005</v>
      </c>
      <c r="F72" s="1599">
        <f>-F42</f>
        <v>0</v>
      </c>
      <c r="G72" s="1599">
        <f t="shared" ref="G72:I72" si="3">-G42</f>
        <v>0</v>
      </c>
      <c r="H72" s="1599">
        <f t="shared" si="3"/>
        <v>0</v>
      </c>
      <c r="I72" s="1599">
        <f t="shared" si="3"/>
        <v>-4556490.7603197005</v>
      </c>
      <c r="J72" s="1606"/>
    </row>
    <row r="73" spans="2:10" ht="5.0999999999999996" customHeight="1">
      <c r="B73" s="1601"/>
      <c r="C73" s="1759"/>
      <c r="D73" s="1760"/>
      <c r="E73" s="1602"/>
      <c r="F73" s="1602"/>
      <c r="G73" s="1602"/>
      <c r="H73" s="1602"/>
      <c r="I73" s="1602"/>
      <c r="J73" s="1761"/>
    </row>
    <row r="74" spans="2:10">
      <c r="B74" s="1603" t="s">
        <v>1061</v>
      </c>
      <c r="C74" s="1760"/>
      <c r="D74" s="1760"/>
      <c r="E74" s="1602">
        <f>SUM(E69:E73)+E67</f>
        <v>123245389.97794542</v>
      </c>
      <c r="F74" s="1602">
        <f>SUM(F69:F73)+F67</f>
        <v>99452878.056944191</v>
      </c>
      <c r="G74" s="1602">
        <f>SUM(G69:G73)+G67</f>
        <v>1169394.8447768998</v>
      </c>
      <c r="H74" s="1602">
        <f>SUM(H69:H73)+H67</f>
        <v>4121622.0503296969</v>
      </c>
      <c r="I74" s="1602">
        <f>SUM(I69:I73)+I67</f>
        <v>18501495.025894605</v>
      </c>
      <c r="J74" s="1761"/>
    </row>
    <row r="75" spans="2:10">
      <c r="B75" s="1603"/>
      <c r="C75" s="1760"/>
      <c r="D75" s="1760"/>
      <c r="E75" s="1602"/>
      <c r="F75" s="1602"/>
      <c r="G75" s="1602"/>
      <c r="H75" s="1602"/>
      <c r="I75" s="1602"/>
      <c r="J75" s="1761"/>
    </row>
    <row r="76" spans="2:10">
      <c r="B76" s="1763" t="s">
        <v>351</v>
      </c>
      <c r="C76" s="1764"/>
      <c r="D76" s="1607"/>
      <c r="E76" s="1765"/>
      <c r="F76" s="1765"/>
      <c r="G76" s="1765"/>
      <c r="H76" s="1765"/>
      <c r="I76" s="1608">
        <f>+'ATT H-9A'!$H$16</f>
        <v>0.10939366197352368</v>
      </c>
      <c r="J76" s="1766"/>
    </row>
    <row r="77" spans="2:10">
      <c r="B77" s="1763" t="s">
        <v>298</v>
      </c>
      <c r="C77" s="1764"/>
      <c r="D77" s="1607"/>
      <c r="E77" s="1765"/>
      <c r="F77" s="1765"/>
      <c r="G77" s="1765"/>
      <c r="H77" s="1608">
        <f>+'ATT H-9A'!$H$37</f>
        <v>0.18463185447367098</v>
      </c>
      <c r="I77" s="1765"/>
      <c r="J77" s="1766"/>
    </row>
    <row r="78" spans="2:10">
      <c r="B78" s="1763" t="s">
        <v>1062</v>
      </c>
      <c r="C78" s="1764"/>
      <c r="D78" s="1607"/>
      <c r="E78" s="1765"/>
      <c r="F78" s="1765"/>
      <c r="G78" s="1608">
        <v>1</v>
      </c>
      <c r="H78" s="1765"/>
      <c r="I78" s="1765"/>
      <c r="J78" s="1766"/>
    </row>
    <row r="79" spans="2:10">
      <c r="B79" s="1763" t="s">
        <v>1063</v>
      </c>
      <c r="C79" s="1764"/>
      <c r="D79" s="1607"/>
      <c r="E79" s="1765"/>
      <c r="F79" s="1608">
        <v>0</v>
      </c>
      <c r="G79" s="1765"/>
      <c r="H79" s="1765"/>
      <c r="I79" s="1765"/>
      <c r="J79" s="1766"/>
    </row>
    <row r="80" spans="2:10">
      <c r="B80" s="1767" t="s">
        <v>1064</v>
      </c>
      <c r="C80" s="1764"/>
      <c r="D80" s="1607"/>
      <c r="E80" s="1765">
        <f>F80+G80+H80+I80</f>
        <v>3954323.86023639</v>
      </c>
      <c r="F80" s="1765">
        <f>F79*F74</f>
        <v>0</v>
      </c>
      <c r="G80" s="1765">
        <f>G74*G78</f>
        <v>1169394.8447768998</v>
      </c>
      <c r="H80" s="1765">
        <f>H74*H77</f>
        <v>760982.72259194602</v>
      </c>
      <c r="I80" s="1765">
        <f>I76*I74</f>
        <v>2023946.2928675441</v>
      </c>
      <c r="J80" s="1766"/>
    </row>
    <row r="81" spans="2:10">
      <c r="B81" s="1768"/>
      <c r="E81" s="1747"/>
      <c r="F81" s="1747"/>
      <c r="G81" s="1747"/>
      <c r="H81" s="1747"/>
      <c r="I81" s="1747"/>
      <c r="J81" s="1769"/>
    </row>
    <row r="82" spans="2:10">
      <c r="B82" s="1748"/>
      <c r="E82" s="1747"/>
      <c r="F82" s="1747"/>
      <c r="G82" s="1747"/>
      <c r="H82" s="1747"/>
      <c r="I82" s="1747"/>
      <c r="J82" s="1769"/>
    </row>
    <row r="83" spans="2:10">
      <c r="B83" s="1592" t="s">
        <v>216</v>
      </c>
      <c r="C83" s="1592"/>
      <c r="D83" s="1592"/>
      <c r="E83" s="1592" t="s">
        <v>217</v>
      </c>
      <c r="F83" s="1592" t="s">
        <v>1296</v>
      </c>
      <c r="G83" s="1592" t="s">
        <v>1580</v>
      </c>
      <c r="H83" s="1592" t="s">
        <v>1581</v>
      </c>
      <c r="I83" s="1592" t="s">
        <v>1582</v>
      </c>
      <c r="J83" s="1592" t="s">
        <v>1583</v>
      </c>
    </row>
    <row r="84" spans="2:10">
      <c r="B84" s="1748"/>
      <c r="C84" s="467"/>
      <c r="D84" s="467"/>
      <c r="E84" s="1592"/>
      <c r="F84" s="1592" t="s">
        <v>1619</v>
      </c>
      <c r="G84" s="1592" t="s">
        <v>345</v>
      </c>
      <c r="H84" s="1592"/>
      <c r="I84" s="1592"/>
      <c r="J84" s="467"/>
    </row>
    <row r="85" spans="2:10">
      <c r="B85" s="1754"/>
      <c r="C85" s="467"/>
      <c r="D85" s="467"/>
      <c r="E85" s="1592"/>
      <c r="F85" s="1592" t="s">
        <v>1620</v>
      </c>
      <c r="G85" s="1592" t="s">
        <v>275</v>
      </c>
      <c r="H85" s="1592" t="s">
        <v>346</v>
      </c>
      <c r="I85" s="1592" t="s">
        <v>347</v>
      </c>
      <c r="J85" s="467"/>
    </row>
    <row r="86" spans="2:10">
      <c r="B86" s="1748" t="s">
        <v>1065</v>
      </c>
      <c r="C86" s="467"/>
      <c r="D86" s="467"/>
      <c r="E86" s="1592" t="s">
        <v>59</v>
      </c>
      <c r="F86" s="1744" t="s">
        <v>1621</v>
      </c>
      <c r="G86" s="1592" t="s">
        <v>348</v>
      </c>
      <c r="H86" s="1592" t="s">
        <v>348</v>
      </c>
      <c r="I86" s="1592" t="s">
        <v>348</v>
      </c>
      <c r="J86" s="1592" t="s">
        <v>352</v>
      </c>
    </row>
    <row r="87" spans="2:10">
      <c r="B87" s="1598"/>
      <c r="C87" s="1770"/>
      <c r="D87" s="1771"/>
      <c r="E87" s="1599"/>
      <c r="F87" s="1599"/>
      <c r="G87" s="1599"/>
      <c r="H87" s="1599"/>
      <c r="I87" s="1599"/>
      <c r="J87" s="1600"/>
    </row>
    <row r="88" spans="2:10">
      <c r="B88" s="1598"/>
      <c r="C88" s="1770"/>
      <c r="D88" s="1772"/>
      <c r="E88" s="1599"/>
      <c r="F88" s="1599"/>
      <c r="G88" s="1599"/>
      <c r="H88" s="1599"/>
      <c r="I88" s="1599"/>
      <c r="J88" s="1600"/>
    </row>
    <row r="89" spans="2:10">
      <c r="B89" s="1598"/>
      <c r="C89" s="1770"/>
      <c r="D89" s="1772"/>
      <c r="E89" s="1599"/>
      <c r="F89" s="1599"/>
      <c r="G89" s="1599"/>
      <c r="H89" s="1599"/>
      <c r="I89" s="1599"/>
      <c r="J89" s="1600"/>
    </row>
    <row r="90" spans="2:10">
      <c r="B90" s="1598"/>
      <c r="C90" s="1770"/>
      <c r="D90" s="1772"/>
      <c r="E90" s="1599"/>
      <c r="F90" s="1599"/>
      <c r="G90" s="1599"/>
      <c r="H90" s="1599"/>
      <c r="I90" s="1599"/>
      <c r="J90" s="1600"/>
    </row>
    <row r="91" spans="2:10">
      <c r="B91" s="1598"/>
      <c r="C91" s="1770"/>
      <c r="D91" s="1772"/>
      <c r="E91" s="1599"/>
      <c r="F91" s="1599"/>
      <c r="G91" s="1599"/>
      <c r="H91" s="1599"/>
      <c r="I91" s="1599"/>
      <c r="J91" s="1600"/>
    </row>
    <row r="92" spans="2:10">
      <c r="B92" s="1598"/>
      <c r="C92" s="1770"/>
      <c r="D92" s="1772"/>
      <c r="E92" s="1599"/>
      <c r="F92" s="1599"/>
      <c r="G92" s="1599"/>
      <c r="H92" s="1599"/>
      <c r="I92" s="1599"/>
      <c r="J92" s="1600"/>
    </row>
    <row r="93" spans="2:10">
      <c r="B93" s="1598"/>
      <c r="C93" s="1770"/>
      <c r="D93" s="1771"/>
      <c r="E93" s="1773"/>
      <c r="F93" s="1773"/>
      <c r="G93" s="1773"/>
      <c r="H93" s="1773"/>
      <c r="I93" s="1773"/>
      <c r="J93" s="1774"/>
    </row>
    <row r="94" spans="2:10">
      <c r="B94" s="1603" t="s">
        <v>1066</v>
      </c>
      <c r="C94" s="1760"/>
      <c r="D94" s="1760"/>
      <c r="E94" s="1602">
        <f>SUM(E87:E93)</f>
        <v>0</v>
      </c>
      <c r="F94" s="1602">
        <f>SUM(F87:F93)</f>
        <v>0</v>
      </c>
      <c r="G94" s="1602">
        <f>SUM(G87:G93)</f>
        <v>0</v>
      </c>
      <c r="H94" s="1602">
        <f>SUM(H87:H93)</f>
        <v>0</v>
      </c>
      <c r="I94" s="1602">
        <f>SUM(I87:I93)</f>
        <v>0</v>
      </c>
      <c r="J94" s="1761"/>
    </row>
    <row r="95" spans="2:10">
      <c r="B95" s="1603"/>
      <c r="C95" s="1760"/>
      <c r="D95" s="1760"/>
      <c r="E95" s="1602"/>
      <c r="F95" s="1602"/>
      <c r="G95" s="1602"/>
      <c r="H95" s="1602"/>
      <c r="I95" s="1602"/>
      <c r="J95" s="1761"/>
    </row>
    <row r="96" spans="2:10">
      <c r="B96" s="1609" t="s">
        <v>1626</v>
      </c>
      <c r="C96" s="1775"/>
      <c r="D96" s="1776"/>
      <c r="E96" s="1605"/>
      <c r="F96" s="1599"/>
      <c r="G96" s="1599"/>
      <c r="H96" s="1599"/>
      <c r="I96" s="1599"/>
      <c r="J96" s="1606"/>
    </row>
    <row r="97" spans="2:10">
      <c r="B97" s="1604" t="s">
        <v>1627</v>
      </c>
      <c r="C97" s="1762"/>
      <c r="D97" s="1776"/>
      <c r="E97" s="1605"/>
      <c r="F97" s="1599"/>
      <c r="G97" s="1599"/>
      <c r="H97" s="1599"/>
      <c r="I97" s="1599"/>
      <c r="J97" s="1606"/>
    </row>
    <row r="98" spans="2:10">
      <c r="B98" s="1604" t="s">
        <v>1628</v>
      </c>
      <c r="C98" s="1762"/>
      <c r="D98" s="1776"/>
      <c r="E98" s="1605"/>
      <c r="F98" s="1599"/>
      <c r="G98" s="1599"/>
      <c r="H98" s="1599"/>
      <c r="I98" s="1599"/>
      <c r="J98" s="1606"/>
    </row>
    <row r="99" spans="2:10">
      <c r="B99" s="1604" t="s">
        <v>1138</v>
      </c>
      <c r="C99" s="1762"/>
      <c r="D99" s="1776"/>
      <c r="E99" s="1605"/>
      <c r="F99" s="1599"/>
      <c r="G99" s="1599"/>
      <c r="H99" s="1599"/>
      <c r="I99" s="1599"/>
      <c r="J99" s="1606"/>
    </row>
    <row r="100" spans="2:10" ht="5.0999999999999996" customHeight="1">
      <c r="B100" s="1601"/>
      <c r="C100" s="1759"/>
      <c r="D100" s="1760"/>
      <c r="E100" s="1602"/>
      <c r="F100" s="1602"/>
      <c r="G100" s="1602"/>
      <c r="H100" s="1602"/>
      <c r="I100" s="1602"/>
      <c r="J100" s="1761"/>
    </row>
    <row r="101" spans="2:10">
      <c r="B101" s="1610" t="s">
        <v>1067</v>
      </c>
      <c r="C101" s="1777"/>
      <c r="D101" s="1760"/>
      <c r="E101" s="1602">
        <f>SUM(E96:E100)+E94</f>
        <v>0</v>
      </c>
      <c r="F101" s="1602">
        <f>SUM(F96:F100)+F94</f>
        <v>0</v>
      </c>
      <c r="G101" s="1602">
        <f>SUM(G96:G100)+G94</f>
        <v>0</v>
      </c>
      <c r="H101" s="1602">
        <f>SUM(H96:H100)+H94</f>
        <v>0</v>
      </c>
      <c r="I101" s="1602">
        <f>SUM(I96:I100)+I94</f>
        <v>0</v>
      </c>
      <c r="J101" s="1761"/>
    </row>
    <row r="102" spans="2:10">
      <c r="B102" s="1778"/>
      <c r="C102" s="1611"/>
      <c r="D102" s="1611"/>
      <c r="E102" s="1765"/>
      <c r="F102" s="1602"/>
      <c r="G102" s="1602"/>
      <c r="H102" s="1602"/>
      <c r="I102" s="1602"/>
      <c r="J102" s="1766"/>
    </row>
    <row r="103" spans="2:10">
      <c r="B103" s="1779" t="s">
        <v>351</v>
      </c>
      <c r="C103" s="1780"/>
      <c r="D103" s="1607"/>
      <c r="E103" s="1765"/>
      <c r="F103" s="1765"/>
      <c r="G103" s="1765"/>
      <c r="H103" s="1765"/>
      <c r="I103" s="1608">
        <f>+'ATT H-9A'!H16</f>
        <v>0.10939366197352368</v>
      </c>
      <c r="J103" s="1766"/>
    </row>
    <row r="104" spans="2:10">
      <c r="B104" s="1763" t="s">
        <v>298</v>
      </c>
      <c r="C104" s="1764"/>
      <c r="D104" s="1607"/>
      <c r="E104" s="1765"/>
      <c r="F104" s="1765"/>
      <c r="G104" s="1765"/>
      <c r="H104" s="1608">
        <f>+'ATT H-9A'!H37</f>
        <v>0.18463185447367098</v>
      </c>
      <c r="I104" s="1765"/>
      <c r="J104" s="1766"/>
    </row>
    <row r="105" spans="2:10">
      <c r="B105" s="1763" t="s">
        <v>1062</v>
      </c>
      <c r="C105" s="1764"/>
      <c r="D105" s="1607"/>
      <c r="E105" s="1765"/>
      <c r="F105" s="1765"/>
      <c r="G105" s="1608">
        <v>1</v>
      </c>
      <c r="H105" s="1765"/>
      <c r="I105" s="1765"/>
      <c r="J105" s="1766"/>
    </row>
    <row r="106" spans="2:10">
      <c r="B106" s="1763" t="s">
        <v>1063</v>
      </c>
      <c r="C106" s="1764"/>
      <c r="D106" s="1607"/>
      <c r="E106" s="1765"/>
      <c r="F106" s="1608">
        <v>0</v>
      </c>
      <c r="G106" s="1765"/>
      <c r="H106" s="1765"/>
      <c r="I106" s="1765"/>
      <c r="J106" s="1766"/>
    </row>
    <row r="107" spans="2:10">
      <c r="B107" s="1767" t="s">
        <v>1064</v>
      </c>
      <c r="C107" s="1764"/>
      <c r="D107" s="1607"/>
      <c r="E107" s="1765">
        <f>F107+G107+H107+I107</f>
        <v>0</v>
      </c>
      <c r="F107" s="1765">
        <f>F106*F101</f>
        <v>0</v>
      </c>
      <c r="G107" s="1765">
        <f>G101*G105</f>
        <v>0</v>
      </c>
      <c r="H107" s="1765">
        <f>H101*H104</f>
        <v>0</v>
      </c>
      <c r="I107" s="1765">
        <f>I103*I101</f>
        <v>0</v>
      </c>
      <c r="J107" s="1766"/>
    </row>
    <row r="108" spans="2:10">
      <c r="B108" s="1768"/>
      <c r="E108" s="1747"/>
      <c r="F108" s="1747"/>
      <c r="G108" s="1747"/>
      <c r="H108" s="1747"/>
      <c r="I108" s="1747"/>
      <c r="J108" s="1769"/>
    </row>
    <row r="109" spans="2:10">
      <c r="B109" s="1768"/>
      <c r="E109" s="1747"/>
      <c r="F109" s="1747"/>
      <c r="G109" s="1747"/>
      <c r="H109" s="1747"/>
      <c r="I109" s="1747"/>
      <c r="J109" s="1769"/>
    </row>
    <row r="110" spans="2:10">
      <c r="B110" s="1592" t="s">
        <v>216</v>
      </c>
      <c r="C110" s="1592"/>
      <c r="D110" s="1592"/>
      <c r="E110" s="1592" t="s">
        <v>217</v>
      </c>
      <c r="F110" s="1592" t="s">
        <v>1296</v>
      </c>
      <c r="G110" s="1592" t="s">
        <v>1580</v>
      </c>
      <c r="H110" s="1592" t="s">
        <v>1581</v>
      </c>
      <c r="I110" s="1592" t="s">
        <v>1582</v>
      </c>
      <c r="J110" s="1592" t="s">
        <v>1583</v>
      </c>
    </row>
    <row r="111" spans="2:10">
      <c r="B111" s="1748"/>
      <c r="C111" s="467"/>
      <c r="D111" s="467"/>
      <c r="E111" s="1592"/>
      <c r="F111" s="1592" t="s">
        <v>1619</v>
      </c>
      <c r="G111" s="1592" t="s">
        <v>345</v>
      </c>
      <c r="H111" s="1592"/>
      <c r="I111" s="1592"/>
      <c r="J111" s="467"/>
    </row>
    <row r="112" spans="2:10">
      <c r="B112" s="1781"/>
      <c r="C112" s="467"/>
      <c r="D112" s="467"/>
      <c r="E112" s="1592"/>
      <c r="F112" s="1592" t="s">
        <v>1620</v>
      </c>
      <c r="G112" s="1592" t="s">
        <v>275</v>
      </c>
      <c r="H112" s="1592" t="s">
        <v>346</v>
      </c>
      <c r="I112" s="1592" t="s">
        <v>347</v>
      </c>
      <c r="J112" s="467"/>
    </row>
    <row r="113" spans="2:11">
      <c r="B113" s="1748" t="s">
        <v>1629</v>
      </c>
      <c r="E113" s="1592" t="s">
        <v>59</v>
      </c>
      <c r="F113" s="1744" t="s">
        <v>1621</v>
      </c>
      <c r="G113" s="1592" t="s">
        <v>348</v>
      </c>
      <c r="H113" s="1592" t="s">
        <v>348</v>
      </c>
      <c r="I113" s="1592" t="s">
        <v>348</v>
      </c>
      <c r="J113" s="1592" t="s">
        <v>352</v>
      </c>
    </row>
    <row r="114" spans="2:11">
      <c r="B114" s="1607" t="s">
        <v>1059</v>
      </c>
      <c r="C114" s="1607"/>
      <c r="D114" s="1607"/>
      <c r="E114" s="1602">
        <f>SUM(F114:I114)</f>
        <v>296185199.52049351</v>
      </c>
      <c r="F114" s="1765">
        <f>F67</f>
        <v>267411016.02819258</v>
      </c>
      <c r="G114" s="1765">
        <f>G67</f>
        <v>1169394.8447768998</v>
      </c>
      <c r="H114" s="1765">
        <f>H67</f>
        <v>4546802.8613096969</v>
      </c>
      <c r="I114" s="1765">
        <f>I67</f>
        <v>23057985.786214307</v>
      </c>
      <c r="J114" s="1766"/>
    </row>
    <row r="115" spans="2:11">
      <c r="B115" s="1607" t="s">
        <v>1065</v>
      </c>
      <c r="C115" s="1607"/>
      <c r="D115" s="1607"/>
      <c r="E115" s="1602">
        <f>SUM(F115:I115)</f>
        <v>0</v>
      </c>
      <c r="F115" s="1765">
        <f>F94</f>
        <v>0</v>
      </c>
      <c r="G115" s="1765">
        <f>G94</f>
        <v>0</v>
      </c>
      <c r="H115" s="1765">
        <f>H94</f>
        <v>0</v>
      </c>
      <c r="I115" s="1765">
        <f>I94</f>
        <v>0</v>
      </c>
      <c r="J115" s="1766"/>
    </row>
    <row r="116" spans="2:11">
      <c r="B116" s="1612" t="s">
        <v>1068</v>
      </c>
      <c r="C116" s="1607"/>
      <c r="D116" s="1607"/>
      <c r="E116" s="1765">
        <f>E114+E115</f>
        <v>296185199.52049351</v>
      </c>
      <c r="F116" s="1765">
        <f>F114+F115</f>
        <v>267411016.02819258</v>
      </c>
      <c r="G116" s="1765">
        <f>G114+G115</f>
        <v>1169394.8447768998</v>
      </c>
      <c r="H116" s="1765">
        <f>H114+H115</f>
        <v>4546802.8613096969</v>
      </c>
      <c r="I116" s="1765">
        <f>I114+I115</f>
        <v>23057985.786214307</v>
      </c>
      <c r="J116" s="1766"/>
    </row>
    <row r="117" spans="2:11">
      <c r="B117" s="1768"/>
      <c r="E117" s="1747"/>
      <c r="F117" s="1747"/>
      <c r="G117" s="1747"/>
      <c r="H117" s="1747"/>
      <c r="I117" s="1747"/>
      <c r="J117" s="1769"/>
    </row>
    <row r="118" spans="2:11">
      <c r="B118" s="1768"/>
      <c r="E118" s="1747"/>
      <c r="F118" s="1747"/>
      <c r="G118" s="1747"/>
      <c r="H118" s="1747"/>
      <c r="I118" s="1747"/>
      <c r="J118" s="1769"/>
    </row>
    <row r="119" spans="2:11" s="467" customFormat="1" ht="12.75" customHeight="1">
      <c r="B119" s="1782" t="s">
        <v>364</v>
      </c>
      <c r="C119" s="1782"/>
      <c r="E119" s="1783"/>
      <c r="G119" s="1783"/>
      <c r="H119" s="1784"/>
      <c r="I119" s="1785"/>
      <c r="J119" s="1786"/>
    </row>
    <row r="120" spans="2:11" s="467" customFormat="1" ht="15.75" customHeight="1">
      <c r="B120" s="1876" t="s">
        <v>1630</v>
      </c>
      <c r="C120" s="1876"/>
      <c r="D120" s="1876"/>
      <c r="E120" s="1876"/>
      <c r="F120" s="1876"/>
      <c r="G120" s="1876"/>
      <c r="H120" s="1876"/>
      <c r="I120" s="1876"/>
      <c r="J120" s="1787"/>
    </row>
    <row r="121" spans="2:11" s="467" customFormat="1">
      <c r="B121" s="1788" t="s">
        <v>365</v>
      </c>
      <c r="C121" s="1788"/>
      <c r="H121" s="1785"/>
      <c r="I121" s="1785"/>
      <c r="J121" s="1786"/>
    </row>
    <row r="122" spans="2:11" s="467" customFormat="1">
      <c r="B122" s="1788" t="s">
        <v>366</v>
      </c>
      <c r="C122" s="1788"/>
      <c r="H122" s="1785"/>
      <c r="I122" s="1785"/>
      <c r="J122" s="1787"/>
    </row>
    <row r="123" spans="2:11" s="467" customFormat="1">
      <c r="B123" s="1788" t="s">
        <v>367</v>
      </c>
      <c r="C123" s="1788"/>
      <c r="H123" s="1785"/>
      <c r="I123" s="1785"/>
      <c r="J123" s="1786"/>
    </row>
    <row r="124" spans="2:11" s="467" customFormat="1" ht="15.75" customHeight="1">
      <c r="B124" s="1876" t="s">
        <v>1069</v>
      </c>
      <c r="C124" s="1876"/>
      <c r="D124" s="1876"/>
      <c r="E124" s="1876"/>
      <c r="F124" s="1876"/>
      <c r="G124" s="1876"/>
      <c r="H124" s="1876"/>
      <c r="I124" s="1876"/>
      <c r="K124" s="1789"/>
    </row>
    <row r="125" spans="2:11" s="467" customFormat="1" ht="15.75" customHeight="1">
      <c r="B125" s="1876"/>
      <c r="C125" s="1876"/>
      <c r="D125" s="1876"/>
      <c r="E125" s="1876"/>
      <c r="F125" s="1876"/>
      <c r="G125" s="1876"/>
      <c r="H125" s="1876"/>
      <c r="I125" s="1876"/>
      <c r="K125" s="1789"/>
    </row>
    <row r="126" spans="2:11" s="467" customFormat="1">
      <c r="B126" s="1788" t="s">
        <v>1070</v>
      </c>
      <c r="C126" s="1788"/>
      <c r="H126" s="1785"/>
      <c r="I126" s="1785"/>
      <c r="J126" s="1786"/>
    </row>
    <row r="127" spans="2:11">
      <c r="C127" s="1768"/>
      <c r="E127" s="1749"/>
      <c r="F127" s="1749"/>
      <c r="G127" s="1752"/>
      <c r="H127" s="1790"/>
      <c r="I127" s="1791"/>
      <c r="J127" s="1769"/>
    </row>
    <row r="128" spans="2:11">
      <c r="B128" s="1768"/>
      <c r="C128" s="1792"/>
      <c r="E128" s="1793"/>
      <c r="F128" s="1752"/>
    </row>
    <row r="129" spans="2:10">
      <c r="B129" s="1592" t="s">
        <v>216</v>
      </c>
      <c r="C129" s="1592"/>
      <c r="D129" s="1592"/>
      <c r="E129" s="1592" t="s">
        <v>217</v>
      </c>
      <c r="F129" s="1592" t="s">
        <v>1296</v>
      </c>
      <c r="G129" s="1592" t="s">
        <v>1580</v>
      </c>
      <c r="H129" s="1592" t="s">
        <v>1581</v>
      </c>
      <c r="I129" s="1592" t="s">
        <v>1582</v>
      </c>
      <c r="J129" s="1592" t="s">
        <v>1583</v>
      </c>
    </row>
    <row r="130" spans="2:10">
      <c r="B130" s="1748"/>
      <c r="C130" s="467"/>
      <c r="D130" s="467"/>
      <c r="E130" s="1592"/>
      <c r="F130" s="1592" t="s">
        <v>1619</v>
      </c>
      <c r="G130" s="1592" t="s">
        <v>345</v>
      </c>
      <c r="H130" s="1592"/>
      <c r="I130" s="1592"/>
      <c r="J130" s="467"/>
    </row>
    <row r="131" spans="2:10">
      <c r="B131" s="1748"/>
      <c r="C131" s="1754"/>
      <c r="D131" s="467"/>
      <c r="E131" s="1592"/>
      <c r="F131" s="1592" t="s">
        <v>1620</v>
      </c>
      <c r="G131" s="1592" t="s">
        <v>275</v>
      </c>
      <c r="H131" s="1592" t="s">
        <v>346</v>
      </c>
      <c r="I131" s="1592" t="s">
        <v>347</v>
      </c>
      <c r="J131" s="467"/>
    </row>
    <row r="132" spans="2:10">
      <c r="B132" s="1748" t="s">
        <v>1071</v>
      </c>
      <c r="C132" s="467"/>
      <c r="D132" s="467"/>
      <c r="E132" s="1592" t="s">
        <v>59</v>
      </c>
      <c r="F132" s="1744" t="s">
        <v>1621</v>
      </c>
      <c r="G132" s="1592" t="s">
        <v>348</v>
      </c>
      <c r="H132" s="1592" t="s">
        <v>348</v>
      </c>
      <c r="I132" s="1592" t="s">
        <v>348</v>
      </c>
      <c r="J132" s="1592" t="s">
        <v>352</v>
      </c>
    </row>
    <row r="133" spans="2:10">
      <c r="B133" s="1794" t="s">
        <v>1928</v>
      </c>
      <c r="C133" s="1795"/>
      <c r="D133" s="1796"/>
      <c r="E133" s="1758">
        <f>SUM(F133:I133)</f>
        <v>-740634144.45003343</v>
      </c>
      <c r="F133" s="1758">
        <v>9197990.8588516004</v>
      </c>
      <c r="G133" s="1758">
        <v>0</v>
      </c>
      <c r="H133" s="1758">
        <v>-749832135.30888498</v>
      </c>
      <c r="I133" s="1758">
        <v>0</v>
      </c>
      <c r="J133" s="1854" t="s">
        <v>1940</v>
      </c>
    </row>
    <row r="134" spans="2:10">
      <c r="B134" s="1794" t="s">
        <v>41</v>
      </c>
      <c r="C134" s="1797"/>
      <c r="D134" s="1798"/>
      <c r="E134" s="1758">
        <f t="shared" ref="E134:E137" si="4">SUM(F134:I134)</f>
        <v>57956600.628632702</v>
      </c>
      <c r="F134" s="1758">
        <v>57956600.628632702</v>
      </c>
      <c r="G134" s="1758">
        <v>0</v>
      </c>
      <c r="H134" s="1758">
        <v>0</v>
      </c>
      <c r="I134" s="1758">
        <v>0</v>
      </c>
      <c r="J134" s="1854" t="s">
        <v>1941</v>
      </c>
    </row>
    <row r="135" spans="2:10" ht="38.25">
      <c r="B135" s="1794" t="s">
        <v>1929</v>
      </c>
      <c r="C135" s="1795"/>
      <c r="D135" s="1798"/>
      <c r="E135" s="1758">
        <f t="shared" si="4"/>
        <v>-46185387.274535395</v>
      </c>
      <c r="F135" s="1758">
        <v>-37663012.89106641</v>
      </c>
      <c r="G135" s="1758">
        <v>-8522374.3834689837</v>
      </c>
      <c r="H135" s="1758">
        <v>0</v>
      </c>
      <c r="I135" s="1758">
        <v>0</v>
      </c>
      <c r="J135" s="1854" t="s">
        <v>1942</v>
      </c>
    </row>
    <row r="136" spans="2:10" ht="25.5">
      <c r="B136" s="1794" t="s">
        <v>1931</v>
      </c>
      <c r="C136" s="1795"/>
      <c r="D136" s="1798"/>
      <c r="E136" s="1758">
        <f t="shared" si="4"/>
        <v>-65378740.404682696</v>
      </c>
      <c r="F136" s="1758">
        <v>-65378740.404682696</v>
      </c>
      <c r="G136" s="1758"/>
      <c r="H136" s="1758"/>
      <c r="I136" s="1758"/>
      <c r="J136" s="1854" t="s">
        <v>1943</v>
      </c>
    </row>
    <row r="137" spans="2:10" ht="25.5">
      <c r="B137" s="1794" t="s">
        <v>1930</v>
      </c>
      <c r="C137" s="1795"/>
      <c r="D137" s="1798"/>
      <c r="E137" s="1758">
        <f t="shared" si="4"/>
        <v>44852659.34166</v>
      </c>
      <c r="F137" s="1758">
        <v>44852659.34166</v>
      </c>
      <c r="G137" s="1758">
        <v>0</v>
      </c>
      <c r="H137" s="1758">
        <v>0</v>
      </c>
      <c r="I137" s="1758">
        <v>0</v>
      </c>
      <c r="J137" s="1854" t="s">
        <v>1944</v>
      </c>
    </row>
    <row r="138" spans="2:10">
      <c r="B138" s="1603" t="s">
        <v>1072</v>
      </c>
      <c r="C138" s="1760"/>
      <c r="D138" s="1760"/>
      <c r="E138" s="1602">
        <f>SUM(E133:E137)</f>
        <v>-749389012.15895891</v>
      </c>
      <c r="F138" s="1602">
        <f>SUM(F133:F137)</f>
        <v>8965497.533395201</v>
      </c>
      <c r="G138" s="1602">
        <f>SUM(G133:G137)</f>
        <v>-8522374.3834689837</v>
      </c>
      <c r="H138" s="1602">
        <f>SUM(H133:H137)</f>
        <v>-749832135.30888498</v>
      </c>
      <c r="I138" s="1602">
        <f>SUM(I133:I137)</f>
        <v>0</v>
      </c>
      <c r="J138" s="1761"/>
    </row>
    <row r="139" spans="2:10">
      <c r="B139" s="1603"/>
      <c r="C139" s="1760"/>
      <c r="D139" s="1760"/>
      <c r="E139" s="1602"/>
      <c r="F139" s="1602"/>
      <c r="G139" s="1602"/>
      <c r="H139" s="1602"/>
      <c r="I139" s="1602"/>
      <c r="J139" s="1761"/>
    </row>
    <row r="140" spans="2:10">
      <c r="B140" s="1799" t="s">
        <v>1626</v>
      </c>
      <c r="C140" s="1775"/>
      <c r="D140" s="1776"/>
      <c r="E140" s="1599">
        <f t="shared" ref="E140:E143" si="5">SUM(F140:I140)</f>
        <v>20526081.063022695</v>
      </c>
      <c r="F140" s="1599">
        <f>-F136-F137</f>
        <v>20526081.063022695</v>
      </c>
      <c r="G140" s="1599">
        <f>-G137</f>
        <v>0</v>
      </c>
      <c r="H140" s="1599">
        <f>-H137</f>
        <v>0</v>
      </c>
      <c r="I140" s="1599">
        <f>-I137</f>
        <v>0</v>
      </c>
      <c r="J140" s="1606"/>
    </row>
    <row r="141" spans="2:10">
      <c r="B141" s="1799" t="s">
        <v>1945</v>
      </c>
      <c r="C141" s="1762"/>
      <c r="D141" s="1776"/>
      <c r="E141" s="1599">
        <f t="shared" si="5"/>
        <v>46185387.274535395</v>
      </c>
      <c r="F141" s="1599">
        <f>-F135</f>
        <v>37663012.89106641</v>
      </c>
      <c r="G141" s="1599">
        <f>-G135</f>
        <v>8522374.3834689837</v>
      </c>
      <c r="H141" s="1599">
        <f>-H135</f>
        <v>0</v>
      </c>
      <c r="I141" s="1599">
        <f>-I135</f>
        <v>0</v>
      </c>
      <c r="J141" s="1606"/>
    </row>
    <row r="142" spans="2:10">
      <c r="B142" s="1799" t="s">
        <v>1628</v>
      </c>
      <c r="C142" s="1762"/>
      <c r="D142" s="1776"/>
      <c r="E142" s="1599">
        <f t="shared" si="5"/>
        <v>0</v>
      </c>
      <c r="F142" s="1599"/>
      <c r="G142" s="1599"/>
      <c r="H142" s="1599"/>
      <c r="I142" s="1599"/>
      <c r="J142" s="1606"/>
    </row>
    <row r="143" spans="2:10">
      <c r="B143" s="1604" t="s">
        <v>1138</v>
      </c>
      <c r="C143" s="1762"/>
      <c r="D143" s="1776"/>
      <c r="E143" s="1599">
        <f t="shared" si="5"/>
        <v>0</v>
      </c>
      <c r="F143" s="1599"/>
      <c r="G143" s="1599"/>
      <c r="H143" s="1599"/>
      <c r="I143" s="1599"/>
      <c r="J143" s="1606"/>
    </row>
    <row r="144" spans="2:10" ht="5.0999999999999996" customHeight="1">
      <c r="B144" s="1601"/>
      <c r="C144" s="1759"/>
      <c r="D144" s="1760"/>
      <c r="E144" s="1602"/>
      <c r="F144" s="1602"/>
      <c r="G144" s="1602"/>
      <c r="H144" s="1602"/>
      <c r="I144" s="1602"/>
      <c r="J144" s="1761"/>
    </row>
    <row r="145" spans="2:10">
      <c r="B145" s="1610" t="s">
        <v>1073</v>
      </c>
      <c r="C145" s="1777"/>
      <c r="D145" s="1760"/>
      <c r="E145" s="1602">
        <f>SUM(E140:E143)+E138</f>
        <v>-682677543.82140088</v>
      </c>
      <c r="F145" s="1602">
        <f>SUM(F140:F143)+F138</f>
        <v>67154591.487484306</v>
      </c>
      <c r="G145" s="1602">
        <f>SUM(G140:G143)+G138</f>
        <v>0</v>
      </c>
      <c r="H145" s="1602">
        <f>SUM(H140:H143)+H138</f>
        <v>-749832135.30888498</v>
      </c>
      <c r="I145" s="1602">
        <f>SUM(I140:I143)+I138</f>
        <v>0</v>
      </c>
      <c r="J145" s="1761"/>
    </row>
    <row r="146" spans="2:10">
      <c r="B146" s="1778"/>
      <c r="C146" s="1611"/>
      <c r="D146" s="1611"/>
      <c r="E146" s="1765"/>
      <c r="F146" s="1602"/>
      <c r="G146" s="1602"/>
      <c r="H146" s="1602"/>
      <c r="I146" s="1602"/>
      <c r="J146" s="1766"/>
    </row>
    <row r="147" spans="2:10">
      <c r="B147" s="1779" t="s">
        <v>351</v>
      </c>
      <c r="C147" s="1780"/>
      <c r="D147" s="1607"/>
      <c r="E147" s="1765"/>
      <c r="F147" s="1765"/>
      <c r="G147" s="1765"/>
      <c r="H147" s="1765"/>
      <c r="I147" s="1608">
        <f>+'ATT H-9A'!$H$16</f>
        <v>0.10939366197352368</v>
      </c>
      <c r="J147" s="1766"/>
    </row>
    <row r="148" spans="2:10">
      <c r="B148" s="1763" t="s">
        <v>298</v>
      </c>
      <c r="C148" s="1764"/>
      <c r="D148" s="1607"/>
      <c r="E148" s="1765"/>
      <c r="F148" s="1765"/>
      <c r="G148" s="1765"/>
      <c r="H148" s="1608">
        <f>+'ATT H-9A'!$H$37</f>
        <v>0.18463185447367098</v>
      </c>
      <c r="I148" s="1765"/>
      <c r="J148" s="1766"/>
    </row>
    <row r="149" spans="2:10">
      <c r="B149" s="1763" t="s">
        <v>1062</v>
      </c>
      <c r="C149" s="1764"/>
      <c r="D149" s="1607"/>
      <c r="E149" s="1765"/>
      <c r="F149" s="1765"/>
      <c r="G149" s="1608">
        <v>1</v>
      </c>
      <c r="H149" s="1765"/>
      <c r="I149" s="1765"/>
      <c r="J149" s="1766"/>
    </row>
    <row r="150" spans="2:10">
      <c r="B150" s="1763" t="s">
        <v>1063</v>
      </c>
      <c r="C150" s="1764"/>
      <c r="D150" s="1607"/>
      <c r="E150" s="1765"/>
      <c r="F150" s="1608">
        <v>0</v>
      </c>
      <c r="G150" s="1765"/>
      <c r="H150" s="1765"/>
      <c r="I150" s="1765"/>
      <c r="J150" s="1766"/>
    </row>
    <row r="151" spans="2:10">
      <c r="B151" s="1767" t="s">
        <v>1064</v>
      </c>
      <c r="C151" s="1764"/>
      <c r="D151" s="1607"/>
      <c r="E151" s="1765">
        <f>F151+G151+H151+I151</f>
        <v>-138442897.68603203</v>
      </c>
      <c r="F151" s="1765">
        <f>F150*F145</f>
        <v>0</v>
      </c>
      <c r="G151" s="1765">
        <f>G145*G149</f>
        <v>0</v>
      </c>
      <c r="H151" s="1765">
        <f>H145*H148</f>
        <v>-138442897.68603203</v>
      </c>
      <c r="I151" s="1765">
        <f>I147*I145</f>
        <v>0</v>
      </c>
      <c r="J151" s="1766"/>
    </row>
    <row r="152" spans="2:10" ht="17.25" customHeight="1">
      <c r="B152" s="1754"/>
      <c r="C152" s="1754"/>
      <c r="E152" s="1747"/>
      <c r="F152" s="1747"/>
      <c r="G152" s="1747"/>
      <c r="H152" s="1747"/>
      <c r="I152" s="1747"/>
      <c r="J152" s="1769"/>
    </row>
    <row r="153" spans="2:10">
      <c r="B153" s="1768"/>
      <c r="E153" s="1747"/>
      <c r="F153" s="1747"/>
      <c r="G153" s="1747"/>
      <c r="H153" s="1747"/>
      <c r="I153" s="1747"/>
      <c r="J153" s="1769"/>
    </row>
    <row r="154" spans="2:10">
      <c r="B154" s="1592" t="s">
        <v>216</v>
      </c>
      <c r="C154" s="1592"/>
      <c r="D154" s="1592"/>
      <c r="E154" s="1592" t="s">
        <v>217</v>
      </c>
      <c r="F154" s="1592" t="s">
        <v>1296</v>
      </c>
      <c r="G154" s="1592" t="s">
        <v>1580</v>
      </c>
      <c r="H154" s="1592" t="s">
        <v>1581</v>
      </c>
      <c r="I154" s="1592" t="s">
        <v>1582</v>
      </c>
      <c r="J154" s="1592" t="s">
        <v>1583</v>
      </c>
    </row>
    <row r="155" spans="2:10">
      <c r="B155" s="1748"/>
      <c r="C155" s="467"/>
      <c r="D155" s="467"/>
      <c r="E155" s="1592"/>
      <c r="F155" s="1592" t="s">
        <v>1619</v>
      </c>
      <c r="G155" s="1592" t="s">
        <v>345</v>
      </c>
      <c r="H155" s="1592"/>
      <c r="I155" s="1592"/>
      <c r="J155" s="467"/>
    </row>
    <row r="156" spans="2:10">
      <c r="B156" s="1748"/>
      <c r="C156" s="467"/>
      <c r="D156" s="467"/>
      <c r="E156" s="1592"/>
      <c r="F156" s="1592" t="s">
        <v>1620</v>
      </c>
      <c r="G156" s="1592" t="s">
        <v>275</v>
      </c>
      <c r="H156" s="1592" t="s">
        <v>346</v>
      </c>
      <c r="I156" s="1592" t="s">
        <v>347</v>
      </c>
      <c r="J156" s="467"/>
    </row>
    <row r="157" spans="2:10">
      <c r="B157" s="1748" t="s">
        <v>1074</v>
      </c>
      <c r="C157" s="467"/>
      <c r="D157" s="467"/>
      <c r="E157" s="1592" t="s">
        <v>59</v>
      </c>
      <c r="F157" s="1744" t="s">
        <v>1621</v>
      </c>
      <c r="G157" s="1592" t="s">
        <v>348</v>
      </c>
      <c r="H157" s="1592" t="s">
        <v>348</v>
      </c>
      <c r="I157" s="1592" t="s">
        <v>348</v>
      </c>
      <c r="J157" s="1592" t="s">
        <v>352</v>
      </c>
    </row>
    <row r="158" spans="2:10">
      <c r="B158" s="1800" t="s">
        <v>1928</v>
      </c>
      <c r="C158" s="1770"/>
      <c r="D158" s="1772"/>
      <c r="E158" s="1599">
        <f>SUM(F158:I158)</f>
        <v>-512136208.56720001</v>
      </c>
      <c r="F158" s="1599"/>
      <c r="G158" s="1599"/>
      <c r="H158" s="1599">
        <v>-512136208.56720001</v>
      </c>
      <c r="I158" s="1599"/>
      <c r="J158" s="1738" t="s">
        <v>1940</v>
      </c>
    </row>
    <row r="159" spans="2:10">
      <c r="B159" s="1800"/>
      <c r="C159" s="1770"/>
      <c r="D159" s="1772"/>
      <c r="E159" s="1599"/>
      <c r="F159" s="1599"/>
      <c r="G159" s="1599"/>
      <c r="H159" s="1599"/>
      <c r="I159" s="1599"/>
      <c r="J159" s="1600"/>
    </row>
    <row r="160" spans="2:10">
      <c r="B160" s="1800"/>
      <c r="C160" s="1770"/>
      <c r="D160" s="1772"/>
      <c r="E160" s="1599"/>
      <c r="F160" s="1599"/>
      <c r="G160" s="1599"/>
      <c r="H160" s="1599"/>
      <c r="I160" s="1599"/>
      <c r="J160" s="1600"/>
    </row>
    <row r="161" spans="2:10">
      <c r="B161" s="1800"/>
      <c r="C161" s="1770"/>
      <c r="D161" s="1772"/>
      <c r="E161" s="1599"/>
      <c r="F161" s="1599"/>
      <c r="G161" s="1599"/>
      <c r="H161" s="1599"/>
      <c r="I161" s="1599"/>
      <c r="J161" s="1600"/>
    </row>
    <row r="162" spans="2:10">
      <c r="B162" s="1800"/>
      <c r="C162" s="1770"/>
      <c r="D162" s="1772"/>
      <c r="E162" s="1599"/>
      <c r="F162" s="1599"/>
      <c r="G162" s="1599"/>
      <c r="H162" s="1599"/>
      <c r="I162" s="1599"/>
      <c r="J162" s="1600"/>
    </row>
    <row r="163" spans="2:10">
      <c r="B163" s="1800"/>
      <c r="C163" s="1770"/>
      <c r="D163" s="1772"/>
      <c r="E163" s="1599"/>
      <c r="F163" s="1599"/>
      <c r="G163" s="1599"/>
      <c r="H163" s="1599"/>
      <c r="I163" s="1599"/>
      <c r="J163" s="1600"/>
    </row>
    <row r="164" spans="2:10">
      <c r="B164" s="1800"/>
      <c r="C164" s="1770"/>
      <c r="D164" s="1771"/>
      <c r="E164" s="1773"/>
      <c r="F164" s="1773"/>
      <c r="G164" s="1773"/>
      <c r="H164" s="1773"/>
      <c r="I164" s="1773"/>
      <c r="J164" s="1774"/>
    </row>
    <row r="165" spans="2:10">
      <c r="B165" s="1603" t="s">
        <v>1075</v>
      </c>
      <c r="C165" s="1760"/>
      <c r="D165" s="1760"/>
      <c r="E165" s="1602">
        <f>SUM(E158:E164)</f>
        <v>-512136208.56720001</v>
      </c>
      <c r="F165" s="1602">
        <f>SUM(F158:F164)</f>
        <v>0</v>
      </c>
      <c r="G165" s="1602">
        <f>SUM(G158:G164)</f>
        <v>0</v>
      </c>
      <c r="H165" s="1602">
        <f>SUM(H158:H164)</f>
        <v>-512136208.56720001</v>
      </c>
      <c r="I165" s="1602">
        <f>SUM(I158:I164)</f>
        <v>0</v>
      </c>
      <c r="J165" s="1761"/>
    </row>
    <row r="166" spans="2:10">
      <c r="B166" s="1603"/>
      <c r="C166" s="1760"/>
      <c r="D166" s="1760"/>
      <c r="E166" s="1602"/>
      <c r="F166" s="1602"/>
      <c r="G166" s="1602"/>
      <c r="H166" s="1602"/>
      <c r="I166" s="1602"/>
      <c r="J166" s="1761"/>
    </row>
    <row r="167" spans="2:10">
      <c r="B167" s="1609" t="s">
        <v>1626</v>
      </c>
      <c r="C167" s="1775"/>
      <c r="D167" s="1776"/>
      <c r="E167" s="1605"/>
      <c r="F167" s="1599"/>
      <c r="G167" s="1599"/>
      <c r="H167" s="1599"/>
      <c r="I167" s="1599"/>
      <c r="J167" s="1606"/>
    </row>
    <row r="168" spans="2:10">
      <c r="B168" s="1604" t="s">
        <v>1627</v>
      </c>
      <c r="C168" s="1762"/>
      <c r="D168" s="1776"/>
      <c r="E168" s="1605"/>
      <c r="F168" s="1599"/>
      <c r="G168" s="1599"/>
      <c r="H168" s="1599"/>
      <c r="I168" s="1599"/>
      <c r="J168" s="1606"/>
    </row>
    <row r="169" spans="2:10">
      <c r="B169" s="1604" t="s">
        <v>1628</v>
      </c>
      <c r="C169" s="1762"/>
      <c r="D169" s="1776"/>
      <c r="E169" s="1605"/>
      <c r="F169" s="1599"/>
      <c r="G169" s="1599"/>
      <c r="H169" s="1599"/>
      <c r="I169" s="1599"/>
      <c r="J169" s="1606"/>
    </row>
    <row r="170" spans="2:10">
      <c r="B170" s="1604" t="s">
        <v>1138</v>
      </c>
      <c r="C170" s="1762"/>
      <c r="D170" s="1776"/>
      <c r="E170" s="1605"/>
      <c r="F170" s="1599"/>
      <c r="G170" s="1599"/>
      <c r="H170" s="1599"/>
      <c r="I170" s="1599"/>
      <c r="J170" s="1606"/>
    </row>
    <row r="171" spans="2:10" ht="5.0999999999999996" customHeight="1">
      <c r="B171" s="1601"/>
      <c r="C171" s="1759"/>
      <c r="D171" s="1760"/>
      <c r="E171" s="1602"/>
      <c r="F171" s="1602"/>
      <c r="G171" s="1602"/>
      <c r="H171" s="1602"/>
      <c r="I171" s="1602"/>
      <c r="J171" s="1761"/>
    </row>
    <row r="172" spans="2:10">
      <c r="B172" s="1610" t="s">
        <v>1073</v>
      </c>
      <c r="C172" s="1777"/>
      <c r="D172" s="1760"/>
      <c r="E172" s="1602">
        <f>SUM(E167:E170)+E165</f>
        <v>-512136208.56720001</v>
      </c>
      <c r="F172" s="1602">
        <f>SUM(F167:F170)+F165</f>
        <v>0</v>
      </c>
      <c r="G172" s="1602">
        <f>SUM(G167:G170)+G165</f>
        <v>0</v>
      </c>
      <c r="H172" s="1602">
        <f>SUM(H167:H170)+H165</f>
        <v>-512136208.56720001</v>
      </c>
      <c r="I172" s="1602">
        <f>SUM(I167:I170)+I165</f>
        <v>0</v>
      </c>
      <c r="J172" s="1761"/>
    </row>
    <row r="173" spans="2:10">
      <c r="B173" s="1778"/>
      <c r="C173" s="1611"/>
      <c r="D173" s="1611"/>
      <c r="E173" s="1765"/>
      <c r="F173" s="1602"/>
      <c r="G173" s="1602"/>
      <c r="H173" s="1602"/>
      <c r="I173" s="1602"/>
      <c r="J173" s="1766"/>
    </row>
    <row r="174" spans="2:10">
      <c r="B174" s="1779" t="s">
        <v>351</v>
      </c>
      <c r="C174" s="1780"/>
      <c r="D174" s="1607"/>
      <c r="E174" s="1765"/>
      <c r="F174" s="1765"/>
      <c r="G174" s="1765"/>
      <c r="H174" s="1765"/>
      <c r="I174" s="1608">
        <f>+'ATT H-9A'!H16</f>
        <v>0.10939366197352368</v>
      </c>
      <c r="J174" s="1766"/>
    </row>
    <row r="175" spans="2:10">
      <c r="B175" s="1763" t="s">
        <v>298</v>
      </c>
      <c r="C175" s="1764"/>
      <c r="D175" s="1607"/>
      <c r="E175" s="1765"/>
      <c r="F175" s="1765"/>
      <c r="G175" s="1765"/>
      <c r="H175" s="1608">
        <f>+'ATT H-9A'!H37</f>
        <v>0.18463185447367098</v>
      </c>
      <c r="I175" s="1765"/>
      <c r="J175" s="1766"/>
    </row>
    <row r="176" spans="2:10">
      <c r="B176" s="1763" t="s">
        <v>1062</v>
      </c>
      <c r="C176" s="1764"/>
      <c r="D176" s="1607"/>
      <c r="E176" s="1765"/>
      <c r="F176" s="1765"/>
      <c r="G176" s="1608">
        <v>1</v>
      </c>
      <c r="H176" s="1765"/>
      <c r="I176" s="1765"/>
      <c r="J176" s="1766"/>
    </row>
    <row r="177" spans="2:10">
      <c r="B177" s="1763" t="s">
        <v>1063</v>
      </c>
      <c r="C177" s="1764"/>
      <c r="D177" s="1607"/>
      <c r="E177" s="1765"/>
      <c r="F177" s="1608">
        <v>0</v>
      </c>
      <c r="G177" s="1765"/>
      <c r="H177" s="1765"/>
      <c r="I177" s="1765"/>
      <c r="J177" s="1766"/>
    </row>
    <row r="178" spans="2:10">
      <c r="B178" s="1767" t="s">
        <v>1064</v>
      </c>
      <c r="C178" s="1764"/>
      <c r="D178" s="1607"/>
      <c r="E178" s="1765">
        <f>F178+G178+H178+I178</f>
        <v>-94556657.930876881</v>
      </c>
      <c r="F178" s="1765">
        <f>F177*F172</f>
        <v>0</v>
      </c>
      <c r="G178" s="1765">
        <f>G172*G176</f>
        <v>0</v>
      </c>
      <c r="H178" s="1765">
        <f>H172*H175</f>
        <v>-94556657.930876881</v>
      </c>
      <c r="I178" s="1765">
        <f>I174*I172</f>
        <v>0</v>
      </c>
      <c r="J178" s="1766"/>
    </row>
    <row r="179" spans="2:10">
      <c r="B179" s="1768"/>
      <c r="E179" s="1747"/>
      <c r="F179" s="1747"/>
      <c r="G179" s="1747"/>
      <c r="H179" s="1747"/>
      <c r="I179" s="1747">
        <f>H179/H175</f>
        <v>0</v>
      </c>
      <c r="J179" s="1769"/>
    </row>
    <row r="180" spans="2:10">
      <c r="B180" s="1768"/>
      <c r="E180" s="1747"/>
      <c r="F180" s="1747"/>
      <c r="G180" s="1747"/>
      <c r="H180" s="1747"/>
      <c r="I180" s="1747"/>
      <c r="J180" s="1769"/>
    </row>
    <row r="181" spans="2:10">
      <c r="B181" s="1592" t="s">
        <v>216</v>
      </c>
      <c r="C181" s="1592"/>
      <c r="D181" s="1592"/>
      <c r="E181" s="1592" t="s">
        <v>217</v>
      </c>
      <c r="F181" s="1592" t="s">
        <v>1296</v>
      </c>
      <c r="G181" s="1592" t="s">
        <v>1580</v>
      </c>
      <c r="H181" s="1592" t="s">
        <v>1581</v>
      </c>
      <c r="I181" s="1592" t="s">
        <v>1582</v>
      </c>
      <c r="J181" s="1592" t="s">
        <v>1583</v>
      </c>
    </row>
    <row r="182" spans="2:10">
      <c r="B182" s="1748"/>
      <c r="C182" s="467"/>
      <c r="D182" s="467"/>
      <c r="E182" s="1592"/>
      <c r="F182" s="1592" t="s">
        <v>1619</v>
      </c>
      <c r="G182" s="1592" t="s">
        <v>345</v>
      </c>
      <c r="H182" s="1592"/>
      <c r="I182" s="1592"/>
      <c r="J182" s="467"/>
    </row>
    <row r="183" spans="2:10">
      <c r="B183" s="1748"/>
      <c r="C183" s="467"/>
      <c r="D183" s="467"/>
      <c r="E183" s="1592"/>
      <c r="F183" s="1592" t="s">
        <v>1620</v>
      </c>
      <c r="G183" s="1592" t="s">
        <v>275</v>
      </c>
      <c r="H183" s="1592" t="s">
        <v>346</v>
      </c>
      <c r="I183" s="1592" t="s">
        <v>347</v>
      </c>
      <c r="J183" s="467"/>
    </row>
    <row r="184" spans="2:10">
      <c r="B184" s="1748" t="s">
        <v>1076</v>
      </c>
      <c r="C184" s="467"/>
      <c r="D184" s="467"/>
      <c r="E184" s="1592" t="s">
        <v>59</v>
      </c>
      <c r="F184" s="1744" t="s">
        <v>1621</v>
      </c>
      <c r="G184" s="1592" t="s">
        <v>348</v>
      </c>
      <c r="H184" s="1592" t="s">
        <v>348</v>
      </c>
      <c r="I184" s="1592" t="s">
        <v>348</v>
      </c>
      <c r="J184" s="1592" t="s">
        <v>352</v>
      </c>
    </row>
    <row r="185" spans="2:10">
      <c r="B185" s="1607" t="s">
        <v>1077</v>
      </c>
      <c r="C185" s="1607"/>
      <c r="D185" s="1607"/>
      <c r="E185" s="1602">
        <f>SUM(F185:I185)</f>
        <v>-749389012.15895879</v>
      </c>
      <c r="F185" s="1765">
        <f>F138</f>
        <v>8965497.533395201</v>
      </c>
      <c r="G185" s="1765">
        <f>G138</f>
        <v>-8522374.3834689837</v>
      </c>
      <c r="H185" s="1765">
        <f>H138</f>
        <v>-749832135.30888498</v>
      </c>
      <c r="I185" s="1765">
        <f>I138</f>
        <v>0</v>
      </c>
      <c r="J185" s="1766"/>
    </row>
    <row r="186" spans="2:10">
      <c r="B186" s="1607" t="s">
        <v>1074</v>
      </c>
      <c r="C186" s="1607"/>
      <c r="D186" s="1607"/>
      <c r="E186" s="1602">
        <f>SUM(F186:I186)</f>
        <v>-512136208.56720001</v>
      </c>
      <c r="F186" s="1765">
        <f>F165</f>
        <v>0</v>
      </c>
      <c r="G186" s="1765">
        <f>G165</f>
        <v>0</v>
      </c>
      <c r="H186" s="1765">
        <f>H165</f>
        <v>-512136208.56720001</v>
      </c>
      <c r="I186" s="1765">
        <f>I165</f>
        <v>0</v>
      </c>
      <c r="J186" s="1766"/>
    </row>
    <row r="187" spans="2:10">
      <c r="B187" s="1603" t="s">
        <v>2009</v>
      </c>
      <c r="C187" s="1607"/>
      <c r="D187" s="1607"/>
      <c r="E187" s="1765">
        <f>E185+E186</f>
        <v>-1261525220.7261589</v>
      </c>
      <c r="F187" s="1765">
        <f>F185+F186</f>
        <v>8965497.533395201</v>
      </c>
      <c r="G187" s="1765">
        <f>G185+G186</f>
        <v>-8522374.3834689837</v>
      </c>
      <c r="H187" s="1765">
        <f>H185+H186</f>
        <v>-1261968343.876085</v>
      </c>
      <c r="I187" s="1765">
        <f>I185+I186</f>
        <v>0</v>
      </c>
      <c r="J187" s="1766"/>
    </row>
    <row r="188" spans="2:10">
      <c r="B188" s="1768"/>
      <c r="E188" s="1747"/>
      <c r="F188" s="1747"/>
      <c r="G188" s="1747"/>
      <c r="H188" s="1747"/>
      <c r="I188" s="1747"/>
      <c r="J188" s="1769"/>
    </row>
    <row r="189" spans="2:10" s="467" customFormat="1">
      <c r="B189" s="1748" t="s">
        <v>369</v>
      </c>
      <c r="G189" s="1785"/>
      <c r="H189" s="1785"/>
      <c r="I189" s="1785"/>
      <c r="J189" s="1786"/>
    </row>
    <row r="190" spans="2:10" s="467" customFormat="1" ht="12.75" customHeight="1">
      <c r="B190" s="1876" t="s">
        <v>1630</v>
      </c>
      <c r="C190" s="1876"/>
      <c r="D190" s="1876"/>
      <c r="E190" s="1876"/>
      <c r="F190" s="1876"/>
      <c r="G190" s="1876"/>
      <c r="H190" s="1876"/>
      <c r="I190" s="1876"/>
      <c r="J190" s="1786"/>
    </row>
    <row r="191" spans="2:10" s="467" customFormat="1">
      <c r="B191" s="1788" t="s">
        <v>365</v>
      </c>
      <c r="C191" s="1788"/>
      <c r="H191" s="1785"/>
      <c r="I191" s="1785"/>
      <c r="J191" s="1786"/>
    </row>
    <row r="192" spans="2:10" s="467" customFormat="1">
      <c r="B192" s="1788" t="s">
        <v>366</v>
      </c>
      <c r="C192" s="1788"/>
      <c r="H192" s="1785"/>
      <c r="I192" s="1785"/>
      <c r="J192" s="1786"/>
    </row>
    <row r="193" spans="2:12" s="467" customFormat="1">
      <c r="B193" s="1788" t="s">
        <v>367</v>
      </c>
      <c r="C193" s="1788"/>
      <c r="H193" s="1785"/>
      <c r="I193" s="1785"/>
      <c r="J193" s="1786"/>
    </row>
    <row r="194" spans="2:12" s="467" customFormat="1" ht="15.75" customHeight="1">
      <c r="B194" s="1876" t="s">
        <v>1069</v>
      </c>
      <c r="C194" s="1876"/>
      <c r="D194" s="1876"/>
      <c r="E194" s="1876"/>
      <c r="F194" s="1876"/>
      <c r="G194" s="1876"/>
      <c r="H194" s="1876"/>
      <c r="I194" s="1876"/>
      <c r="K194" s="1789"/>
    </row>
    <row r="195" spans="2:12" s="467" customFormat="1" ht="15.75" customHeight="1">
      <c r="B195" s="1876"/>
      <c r="C195" s="1876"/>
      <c r="D195" s="1876"/>
      <c r="E195" s="1876"/>
      <c r="F195" s="1876"/>
      <c r="G195" s="1876"/>
      <c r="H195" s="1876"/>
      <c r="I195" s="1876"/>
      <c r="K195" s="1789"/>
    </row>
    <row r="196" spans="2:12" s="467" customFormat="1">
      <c r="B196" s="1788" t="s">
        <v>1079</v>
      </c>
      <c r="G196" s="1785"/>
      <c r="H196" s="1785"/>
      <c r="I196" s="1785"/>
      <c r="J196" s="1786"/>
    </row>
    <row r="197" spans="2:12">
      <c r="B197" s="1801" t="s">
        <v>1080</v>
      </c>
    </row>
    <row r="198" spans="2:12" ht="12" customHeight="1">
      <c r="B198" s="1802"/>
      <c r="C198" s="1803"/>
      <c r="D198" s="1804"/>
      <c r="E198" s="1804"/>
      <c r="F198" s="1804"/>
      <c r="G198" s="1804"/>
      <c r="H198" s="1804"/>
      <c r="I198" s="1804"/>
      <c r="J198" s="1804"/>
    </row>
    <row r="199" spans="2:12">
      <c r="B199" s="1740"/>
    </row>
    <row r="200" spans="2:12">
      <c r="B200" s="1592" t="s">
        <v>216</v>
      </c>
      <c r="C200" s="1592"/>
      <c r="D200" s="1592"/>
      <c r="E200" s="1592" t="s">
        <v>217</v>
      </c>
      <c r="F200" s="1592" t="s">
        <v>1296</v>
      </c>
      <c r="G200" s="1592" t="s">
        <v>1580</v>
      </c>
      <c r="H200" s="1592" t="s">
        <v>1581</v>
      </c>
      <c r="I200" s="1592" t="s">
        <v>1582</v>
      </c>
      <c r="J200" s="1592" t="s">
        <v>1583</v>
      </c>
    </row>
    <row r="201" spans="2:12">
      <c r="B201" s="1748"/>
      <c r="C201" s="467"/>
      <c r="D201" s="467"/>
      <c r="E201" s="1592"/>
      <c r="F201" s="1592" t="s">
        <v>1619</v>
      </c>
      <c r="G201" s="1592" t="s">
        <v>345</v>
      </c>
      <c r="H201" s="1592"/>
      <c r="I201" s="1592"/>
      <c r="J201" s="467"/>
    </row>
    <row r="202" spans="2:12">
      <c r="B202" s="1748"/>
      <c r="C202" s="1754"/>
      <c r="D202" s="467"/>
      <c r="E202" s="1592"/>
      <c r="F202" s="1592" t="s">
        <v>1620</v>
      </c>
      <c r="G202" s="1592" t="s">
        <v>275</v>
      </c>
      <c r="H202" s="1592" t="s">
        <v>346</v>
      </c>
      <c r="I202" s="1592" t="s">
        <v>347</v>
      </c>
      <c r="J202" s="467"/>
      <c r="L202" s="1590" t="s">
        <v>101</v>
      </c>
    </row>
    <row r="203" spans="2:12">
      <c r="B203" s="1748" t="s">
        <v>1081</v>
      </c>
      <c r="C203" s="467"/>
      <c r="D203" s="467"/>
      <c r="E203" s="1592" t="s">
        <v>59</v>
      </c>
      <c r="F203" s="1744" t="s">
        <v>1621</v>
      </c>
      <c r="G203" s="1592" t="s">
        <v>348</v>
      </c>
      <c r="H203" s="1592" t="s">
        <v>348</v>
      </c>
      <c r="I203" s="1592" t="s">
        <v>348</v>
      </c>
      <c r="J203" s="1592" t="s">
        <v>352</v>
      </c>
    </row>
    <row r="204" spans="2:12" ht="27.75" customHeight="1">
      <c r="B204" s="1755" t="s">
        <v>1920</v>
      </c>
      <c r="C204" s="1795"/>
      <c r="D204" s="1805"/>
      <c r="E204" s="1758">
        <f>SUM(F204:I204)</f>
        <v>-7542951.85334739</v>
      </c>
      <c r="F204" s="1758">
        <v>0</v>
      </c>
      <c r="G204" s="1758">
        <v>0</v>
      </c>
      <c r="H204" s="1758">
        <v>-7542951.85334739</v>
      </c>
      <c r="I204" s="1758">
        <v>0</v>
      </c>
      <c r="J204" s="1738" t="s">
        <v>1946</v>
      </c>
      <c r="L204" s="1806"/>
    </row>
    <row r="205" spans="2:12">
      <c r="B205" s="1755" t="s">
        <v>1907</v>
      </c>
      <c r="C205" s="1795"/>
      <c r="D205" s="1805"/>
      <c r="E205" s="1758">
        <f t="shared" ref="E205:E212" si="6">SUM(F205:I205)</f>
        <v>-916370.29017709987</v>
      </c>
      <c r="F205" s="1758">
        <v>-916370.29017709987</v>
      </c>
      <c r="G205" s="1758">
        <v>0</v>
      </c>
      <c r="H205" s="1758">
        <v>0</v>
      </c>
      <c r="I205" s="1758">
        <v>0</v>
      </c>
      <c r="J205" s="1738" t="s">
        <v>1935</v>
      </c>
      <c r="L205" s="1806"/>
    </row>
    <row r="206" spans="2:12">
      <c r="B206" s="1755" t="s">
        <v>1932</v>
      </c>
      <c r="C206" s="1795"/>
      <c r="D206" s="1805"/>
      <c r="E206" s="1758">
        <f t="shared" si="6"/>
        <v>-962603.33044509997</v>
      </c>
      <c r="F206" s="1758">
        <v>-962603.33044509997</v>
      </c>
      <c r="G206" s="1758">
        <v>0</v>
      </c>
      <c r="H206" s="1758">
        <v>0</v>
      </c>
      <c r="I206" s="1758">
        <v>0</v>
      </c>
      <c r="J206" s="1738" t="s">
        <v>1935</v>
      </c>
      <c r="L206" s="1806"/>
    </row>
    <row r="207" spans="2:12" ht="25.5">
      <c r="B207" s="1755" t="s">
        <v>1921</v>
      </c>
      <c r="C207" s="1795"/>
      <c r="D207" s="1805"/>
      <c r="E207" s="1758">
        <f t="shared" si="6"/>
        <v>-78401960.952790484</v>
      </c>
      <c r="F207" s="1758">
        <v>0</v>
      </c>
      <c r="G207" s="1758">
        <v>0</v>
      </c>
      <c r="H207" s="1758">
        <v>0</v>
      </c>
      <c r="I207" s="1758">
        <v>-78401960.952790484</v>
      </c>
      <c r="J207" s="1739" t="s">
        <v>1947</v>
      </c>
      <c r="L207" s="1806"/>
    </row>
    <row r="208" spans="2:12">
      <c r="B208" s="1755" t="s">
        <v>130</v>
      </c>
      <c r="C208" s="1795"/>
      <c r="D208" s="1805"/>
      <c r="E208" s="1758">
        <f t="shared" si="6"/>
        <v>-664508.80356359994</v>
      </c>
      <c r="F208" s="1758">
        <v>0</v>
      </c>
      <c r="G208" s="1758">
        <v>0</v>
      </c>
      <c r="H208" s="1758">
        <v>0</v>
      </c>
      <c r="I208" s="1758">
        <v>-664508.80356359994</v>
      </c>
      <c r="J208" s="1738" t="s">
        <v>1935</v>
      </c>
      <c r="L208" s="1806"/>
    </row>
    <row r="209" spans="2:12">
      <c r="B209" s="1755" t="s">
        <v>1922</v>
      </c>
      <c r="C209" s="1795"/>
      <c r="D209" s="1805"/>
      <c r="E209" s="1758">
        <f t="shared" si="6"/>
        <v>-132293542.19899131</v>
      </c>
      <c r="F209" s="1758">
        <v>-132293542.19899131</v>
      </c>
      <c r="G209" s="1758">
        <v>0</v>
      </c>
      <c r="H209" s="1758">
        <v>0</v>
      </c>
      <c r="I209" s="1758">
        <v>0</v>
      </c>
      <c r="J209" s="1738" t="s">
        <v>1935</v>
      </c>
      <c r="L209" s="1806"/>
    </row>
    <row r="210" spans="2:12" ht="15" customHeight="1">
      <c r="B210" s="1755" t="s">
        <v>1925</v>
      </c>
      <c r="C210" s="1795"/>
      <c r="D210" s="1805"/>
      <c r="E210" s="1758">
        <f t="shared" si="6"/>
        <v>-2801416.9279707</v>
      </c>
      <c r="F210" s="1758">
        <v>-2801416.9279707</v>
      </c>
      <c r="G210" s="1758">
        <v>0</v>
      </c>
      <c r="H210" s="1758">
        <v>0</v>
      </c>
      <c r="I210" s="1758">
        <v>0</v>
      </c>
      <c r="J210" s="1738" t="s">
        <v>1949</v>
      </c>
      <c r="L210" s="1806"/>
    </row>
    <row r="211" spans="2:12" ht="26.25" customHeight="1">
      <c r="B211" s="1755" t="s">
        <v>1924</v>
      </c>
      <c r="C211" s="1795"/>
      <c r="D211" s="1805"/>
      <c r="E211" s="1758">
        <f t="shared" si="6"/>
        <v>0</v>
      </c>
      <c r="F211" s="1758">
        <v>0</v>
      </c>
      <c r="G211" s="1758">
        <v>0</v>
      </c>
      <c r="H211" s="1758">
        <v>0</v>
      </c>
      <c r="I211" s="1758">
        <v>0</v>
      </c>
      <c r="J211" s="1613" t="s">
        <v>1948</v>
      </c>
      <c r="L211" s="1806"/>
    </row>
    <row r="212" spans="2:12">
      <c r="B212" s="1755" t="s">
        <v>1923</v>
      </c>
      <c r="C212" s="1795"/>
      <c r="D212" s="1805"/>
      <c r="E212" s="1758">
        <f t="shared" si="6"/>
        <v>0</v>
      </c>
      <c r="F212" s="1758">
        <v>0</v>
      </c>
      <c r="G212" s="1758">
        <v>0</v>
      </c>
      <c r="H212" s="1758">
        <v>0</v>
      </c>
      <c r="I212" s="1758">
        <v>0</v>
      </c>
      <c r="J212" s="1738" t="s">
        <v>1935</v>
      </c>
      <c r="L212" s="1806"/>
    </row>
    <row r="213" spans="2:12">
      <c r="B213" s="1603" t="s">
        <v>1082</v>
      </c>
      <c r="C213" s="1760"/>
      <c r="D213" s="1760"/>
      <c r="E213" s="1602">
        <f>SUM(E204:E212)</f>
        <v>-223583354.35728568</v>
      </c>
      <c r="F213" s="1602">
        <f>SUM(F204:F212)</f>
        <v>-136973932.74758422</v>
      </c>
      <c r="G213" s="1602">
        <f>SUM(G204:G212)</f>
        <v>0</v>
      </c>
      <c r="H213" s="1602">
        <f>SUM(H204:H212)</f>
        <v>-7542951.85334739</v>
      </c>
      <c r="I213" s="1602">
        <f>SUM(I204:I212)</f>
        <v>-79066469.756354079</v>
      </c>
      <c r="J213" s="1761"/>
    </row>
    <row r="214" spans="2:12">
      <c r="B214" s="1603"/>
      <c r="C214" s="1760"/>
      <c r="D214" s="1760"/>
      <c r="E214" s="1602"/>
      <c r="F214" s="1602"/>
      <c r="G214" s="1602"/>
      <c r="H214" s="1602"/>
      <c r="I214" s="1602"/>
      <c r="J214" s="1761"/>
    </row>
    <row r="215" spans="2:12">
      <c r="B215" s="1609" t="s">
        <v>1626</v>
      </c>
      <c r="C215" s="1775"/>
      <c r="D215" s="1776"/>
      <c r="E215" s="1605"/>
      <c r="F215" s="1599"/>
      <c r="G215" s="1599"/>
      <c r="H215" s="1599"/>
      <c r="I215" s="1599"/>
      <c r="J215" s="1606"/>
    </row>
    <row r="216" spans="2:12">
      <c r="B216" s="1604" t="s">
        <v>1627</v>
      </c>
      <c r="C216" s="1762"/>
      <c r="D216" s="1776"/>
      <c r="E216" s="1605"/>
      <c r="F216" s="1599"/>
      <c r="G216" s="1599"/>
      <c r="H216" s="1599"/>
      <c r="I216" s="1599"/>
      <c r="J216" s="1606"/>
    </row>
    <row r="217" spans="2:12">
      <c r="B217" s="1604" t="s">
        <v>1628</v>
      </c>
      <c r="C217" s="1762"/>
      <c r="D217" s="1776"/>
      <c r="E217" s="1605"/>
      <c r="F217" s="1599"/>
      <c r="G217" s="1599"/>
      <c r="H217" s="1599"/>
      <c r="I217" s="1599"/>
      <c r="J217" s="1606"/>
    </row>
    <row r="218" spans="2:12">
      <c r="B218" s="1604" t="s">
        <v>1138</v>
      </c>
      <c r="C218" s="1762"/>
      <c r="D218" s="1776"/>
      <c r="E218" s="1605"/>
      <c r="F218" s="1599"/>
      <c r="G218" s="1599"/>
      <c r="H218" s="1599"/>
      <c r="I218" s="1599"/>
      <c r="J218" s="1606"/>
    </row>
    <row r="219" spans="2:12" ht="5.0999999999999996" customHeight="1">
      <c r="B219" s="1601"/>
      <c r="C219" s="1759"/>
      <c r="D219" s="1760"/>
      <c r="E219" s="1602"/>
      <c r="F219" s="1602"/>
      <c r="G219" s="1602"/>
      <c r="H219" s="1602"/>
      <c r="I219" s="1602"/>
      <c r="J219" s="1761"/>
    </row>
    <row r="220" spans="2:12">
      <c r="B220" s="1610" t="s">
        <v>1083</v>
      </c>
      <c r="C220" s="1777"/>
      <c r="D220" s="1760"/>
      <c r="E220" s="1602">
        <f>SUM(E215:E218)+E213</f>
        <v>-223583354.35728568</v>
      </c>
      <c r="F220" s="1602">
        <f>SUM(F215:F218)+F213</f>
        <v>-136973932.74758422</v>
      </c>
      <c r="G220" s="1602">
        <f>SUM(G215:G218)+G213</f>
        <v>0</v>
      </c>
      <c r="H220" s="1602">
        <f>SUM(H215:H218)+H213</f>
        <v>-7542951.85334739</v>
      </c>
      <c r="I220" s="1602">
        <f>SUM(I215:I218)+I213</f>
        <v>-79066469.756354079</v>
      </c>
      <c r="J220" s="1761"/>
    </row>
    <row r="221" spans="2:12">
      <c r="B221" s="1778"/>
      <c r="C221" s="1611"/>
      <c r="D221" s="1611"/>
      <c r="E221" s="1765"/>
      <c r="F221" s="1602"/>
      <c r="G221" s="1602"/>
      <c r="H221" s="1602"/>
      <c r="I221" s="1602"/>
      <c r="J221" s="1766"/>
    </row>
    <row r="222" spans="2:12">
      <c r="B222" s="1779" t="s">
        <v>351</v>
      </c>
      <c r="C222" s="1780"/>
      <c r="D222" s="1607"/>
      <c r="E222" s="1765"/>
      <c r="F222" s="1765"/>
      <c r="G222" s="1765"/>
      <c r="H222" s="1765"/>
      <c r="I222" s="1608">
        <f>+'ATT H-9A'!H16</f>
        <v>0.10939366197352368</v>
      </c>
      <c r="J222" s="1766"/>
    </row>
    <row r="223" spans="2:12">
      <c r="B223" s="1763" t="s">
        <v>298</v>
      </c>
      <c r="C223" s="1764"/>
      <c r="D223" s="1607"/>
      <c r="E223" s="1765"/>
      <c r="F223" s="1765"/>
      <c r="G223" s="1765"/>
      <c r="H223" s="1608">
        <f>+'ATT H-9A'!H37</f>
        <v>0.18463185447367098</v>
      </c>
      <c r="I223" s="1765"/>
      <c r="J223" s="1766"/>
    </row>
    <row r="224" spans="2:12">
      <c r="B224" s="1763" t="s">
        <v>1062</v>
      </c>
      <c r="C224" s="1764"/>
      <c r="D224" s="1607"/>
      <c r="E224" s="1765"/>
      <c r="F224" s="1765"/>
      <c r="G224" s="1608">
        <v>1</v>
      </c>
      <c r="H224" s="1765"/>
      <c r="I224" s="1765"/>
      <c r="J224" s="1766"/>
    </row>
    <row r="225" spans="2:10">
      <c r="B225" s="1763" t="s">
        <v>1063</v>
      </c>
      <c r="C225" s="1764"/>
      <c r="D225" s="1607"/>
      <c r="E225" s="1765"/>
      <c r="F225" s="1608">
        <v>0</v>
      </c>
      <c r="G225" s="1765"/>
      <c r="H225" s="1765"/>
      <c r="I225" s="1765"/>
      <c r="J225" s="1766"/>
    </row>
    <row r="226" spans="2:10" ht="17.25" customHeight="1">
      <c r="B226" s="1767" t="s">
        <v>1064</v>
      </c>
      <c r="C226" s="1764"/>
      <c r="D226" s="1607"/>
      <c r="E226" s="1765">
        <f>F226+G226+H226+I226</f>
        <v>-10042039.854855573</v>
      </c>
      <c r="F226" s="1765">
        <f>F225*F220</f>
        <v>0</v>
      </c>
      <c r="G226" s="1765">
        <f>G220*G224</f>
        <v>0</v>
      </c>
      <c r="H226" s="1765">
        <f>H220*H223</f>
        <v>-1392669.1888891421</v>
      </c>
      <c r="I226" s="1765">
        <f>I222*I220</f>
        <v>-8649370.6659664307</v>
      </c>
      <c r="J226" s="1766"/>
    </row>
    <row r="227" spans="2:10" ht="12.75" customHeight="1">
      <c r="B227" s="1802"/>
      <c r="C227" s="1804"/>
      <c r="D227" s="1804"/>
      <c r="E227" s="1804"/>
      <c r="F227" s="1804"/>
      <c r="G227" s="1804"/>
      <c r="H227" s="1804"/>
      <c r="I227" s="1804"/>
      <c r="J227" s="1804"/>
    </row>
    <row r="228" spans="2:10">
      <c r="B228" s="1592"/>
      <c r="C228" s="1592"/>
      <c r="D228" s="1592"/>
      <c r="E228" s="1592"/>
      <c r="F228" s="1592"/>
      <c r="G228" s="1592"/>
      <c r="H228" s="1592"/>
      <c r="I228" s="1592"/>
      <c r="J228" s="1592"/>
    </row>
    <row r="229" spans="2:10">
      <c r="B229" s="1592" t="s">
        <v>216</v>
      </c>
      <c r="C229" s="467"/>
      <c r="D229" s="467"/>
      <c r="E229" s="1592" t="s">
        <v>217</v>
      </c>
      <c r="F229" s="1592" t="s">
        <v>1296</v>
      </c>
      <c r="G229" s="1592" t="s">
        <v>1580</v>
      </c>
      <c r="H229" s="1592" t="s">
        <v>1581</v>
      </c>
      <c r="I229" s="1592" t="s">
        <v>1582</v>
      </c>
      <c r="J229" s="1592" t="s">
        <v>1583</v>
      </c>
    </row>
    <row r="230" spans="2:10">
      <c r="B230" s="1748"/>
      <c r="C230" s="467"/>
      <c r="D230" s="467"/>
      <c r="E230" s="1592"/>
      <c r="F230" s="1592" t="s">
        <v>1619</v>
      </c>
      <c r="G230" s="1592" t="s">
        <v>345</v>
      </c>
      <c r="H230" s="1592"/>
      <c r="I230" s="1592"/>
      <c r="J230" s="467"/>
    </row>
    <row r="231" spans="2:10">
      <c r="B231" s="1781"/>
      <c r="C231" s="467"/>
      <c r="D231" s="467"/>
      <c r="E231" s="1592"/>
      <c r="F231" s="1592" t="s">
        <v>1620</v>
      </c>
      <c r="G231" s="1592" t="s">
        <v>275</v>
      </c>
      <c r="H231" s="1592" t="s">
        <v>346</v>
      </c>
      <c r="I231" s="1592" t="s">
        <v>347</v>
      </c>
      <c r="J231" s="467"/>
    </row>
    <row r="232" spans="2:10">
      <c r="B232" s="1748" t="s">
        <v>1631</v>
      </c>
      <c r="E232" s="1592" t="s">
        <v>59</v>
      </c>
      <c r="F232" s="1744" t="s">
        <v>1621</v>
      </c>
      <c r="G232" s="1592" t="s">
        <v>348</v>
      </c>
      <c r="H232" s="1592" t="s">
        <v>348</v>
      </c>
      <c r="I232" s="1592" t="s">
        <v>348</v>
      </c>
      <c r="J232" s="1592" t="s">
        <v>352</v>
      </c>
    </row>
    <row r="233" spans="2:10">
      <c r="B233" s="1598"/>
      <c r="C233" s="1807"/>
      <c r="D233" s="1772"/>
      <c r="E233" s="1599"/>
      <c r="F233" s="1599"/>
      <c r="G233" s="1599"/>
      <c r="H233" s="1599"/>
      <c r="I233" s="1599"/>
      <c r="J233" s="1600"/>
    </row>
    <row r="234" spans="2:10">
      <c r="B234" s="1598"/>
      <c r="C234" s="1807"/>
      <c r="D234" s="1772"/>
      <c r="E234" s="1599"/>
      <c r="F234" s="1599"/>
      <c r="G234" s="1599"/>
      <c r="H234" s="1599"/>
      <c r="I234" s="1599"/>
      <c r="J234" s="1600"/>
    </row>
    <row r="235" spans="2:10">
      <c r="B235" s="1598"/>
      <c r="C235" s="1807"/>
      <c r="D235" s="1772"/>
      <c r="E235" s="1599"/>
      <c r="F235" s="1599"/>
      <c r="G235" s="1599"/>
      <c r="H235" s="1599"/>
      <c r="I235" s="1599"/>
      <c r="J235" s="1600"/>
    </row>
    <row r="236" spans="2:10">
      <c r="B236" s="1598"/>
      <c r="C236" s="1807"/>
      <c r="D236" s="1772"/>
      <c r="E236" s="1599"/>
      <c r="F236" s="1599"/>
      <c r="G236" s="1599"/>
      <c r="H236" s="1599"/>
      <c r="I236" s="1599"/>
      <c r="J236" s="1600"/>
    </row>
    <row r="237" spans="2:10">
      <c r="B237" s="1598"/>
      <c r="C237" s="1807"/>
      <c r="D237" s="1772"/>
      <c r="E237" s="1599"/>
      <c r="F237" s="1599"/>
      <c r="G237" s="1599"/>
      <c r="H237" s="1599"/>
      <c r="I237" s="1599"/>
      <c r="J237" s="1600"/>
    </row>
    <row r="238" spans="2:10">
      <c r="B238" s="1598"/>
      <c r="C238" s="1807"/>
      <c r="D238" s="1772"/>
      <c r="E238" s="1599"/>
      <c r="F238" s="1599"/>
      <c r="G238" s="1599"/>
      <c r="H238" s="1599"/>
      <c r="I238" s="1599"/>
      <c r="J238" s="1600"/>
    </row>
    <row r="239" spans="2:10">
      <c r="B239" s="1598"/>
      <c r="C239" s="1807"/>
      <c r="D239" s="1771"/>
      <c r="E239" s="1773"/>
      <c r="F239" s="1773"/>
      <c r="G239" s="1773"/>
      <c r="H239" s="1773"/>
      <c r="I239" s="1773"/>
      <c r="J239" s="1774"/>
    </row>
    <row r="240" spans="2:10">
      <c r="B240" s="1603" t="s">
        <v>1139</v>
      </c>
      <c r="C240" s="1760"/>
      <c r="D240" s="1602"/>
      <c r="E240" s="1602">
        <f>SUM(E233:E239)</f>
        <v>0</v>
      </c>
      <c r="F240" s="1602">
        <f>SUM(F233:F239)</f>
        <v>0</v>
      </c>
      <c r="G240" s="1602">
        <f>SUM(G233:G239)</f>
        <v>0</v>
      </c>
      <c r="H240" s="1602">
        <f>SUM(H233:H239)</f>
        <v>0</v>
      </c>
      <c r="I240" s="1602">
        <f>SUM(I233:I239)</f>
        <v>0</v>
      </c>
      <c r="J240" s="1761"/>
    </row>
    <row r="241" spans="2:10">
      <c r="B241" s="1603"/>
      <c r="C241" s="1760"/>
      <c r="D241" s="1760"/>
      <c r="E241" s="1602"/>
      <c r="F241" s="1602"/>
      <c r="G241" s="1602"/>
      <c r="H241" s="1602"/>
      <c r="I241" s="1602"/>
      <c r="J241" s="1761"/>
    </row>
    <row r="242" spans="2:10">
      <c r="B242" s="1609" t="s">
        <v>1626</v>
      </c>
      <c r="C242" s="1775"/>
      <c r="D242" s="1776"/>
      <c r="E242" s="1605"/>
      <c r="F242" s="1599"/>
      <c r="G242" s="1599"/>
      <c r="H242" s="1599"/>
      <c r="I242" s="1599"/>
      <c r="J242" s="1606"/>
    </row>
    <row r="243" spans="2:10">
      <c r="B243" s="1604" t="s">
        <v>1627</v>
      </c>
      <c r="C243" s="1762"/>
      <c r="D243" s="1776"/>
      <c r="E243" s="1605"/>
      <c r="F243" s="1599"/>
      <c r="G243" s="1599"/>
      <c r="H243" s="1599"/>
      <c r="I243" s="1599"/>
      <c r="J243" s="1606"/>
    </row>
    <row r="244" spans="2:10">
      <c r="B244" s="1604" t="s">
        <v>1628</v>
      </c>
      <c r="C244" s="1762"/>
      <c r="D244" s="1776"/>
      <c r="E244" s="1605"/>
      <c r="F244" s="1599"/>
      <c r="G244" s="1599"/>
      <c r="H244" s="1599"/>
      <c r="I244" s="1599"/>
      <c r="J244" s="1606"/>
    </row>
    <row r="245" spans="2:10">
      <c r="B245" s="1604" t="s">
        <v>1138</v>
      </c>
      <c r="C245" s="1762"/>
      <c r="D245" s="1776"/>
      <c r="E245" s="1605"/>
      <c r="F245" s="1599"/>
      <c r="G245" s="1599"/>
      <c r="H245" s="1599"/>
      <c r="I245" s="1599"/>
      <c r="J245" s="1606"/>
    </row>
    <row r="246" spans="2:10" ht="5.0999999999999996" customHeight="1">
      <c r="B246" s="1601"/>
      <c r="C246" s="1759"/>
      <c r="D246" s="1760"/>
      <c r="E246" s="1602"/>
      <c r="F246" s="1602"/>
      <c r="G246" s="1602"/>
      <c r="H246" s="1602"/>
      <c r="I246" s="1602"/>
      <c r="J246" s="1761"/>
    </row>
    <row r="247" spans="2:10">
      <c r="B247" s="1610" t="s">
        <v>1085</v>
      </c>
      <c r="C247" s="1777"/>
      <c r="D247" s="1760"/>
      <c r="E247" s="1602">
        <f>SUM(E242:E245)+E240</f>
        <v>0</v>
      </c>
      <c r="F247" s="1602">
        <f>SUM(F242:F245)+F240</f>
        <v>0</v>
      </c>
      <c r="G247" s="1602">
        <f>SUM(G242:G245)+G240</f>
        <v>0</v>
      </c>
      <c r="H247" s="1602">
        <f>SUM(H242:H245)+H240</f>
        <v>0</v>
      </c>
      <c r="I247" s="1602">
        <f>SUM(I242:I245)+I240</f>
        <v>0</v>
      </c>
      <c r="J247" s="1761"/>
    </row>
    <row r="248" spans="2:10">
      <c r="B248" s="1778"/>
      <c r="C248" s="1611"/>
      <c r="D248" s="1611"/>
      <c r="E248" s="1765"/>
      <c r="F248" s="1602"/>
      <c r="G248" s="1602"/>
      <c r="H248" s="1602"/>
      <c r="I248" s="1602"/>
      <c r="J248" s="1766"/>
    </row>
    <row r="249" spans="2:10">
      <c r="B249" s="1779" t="s">
        <v>351</v>
      </c>
      <c r="C249" s="1780"/>
      <c r="D249" s="1607"/>
      <c r="E249" s="1765"/>
      <c r="F249" s="1765"/>
      <c r="G249" s="1765"/>
      <c r="H249" s="1765"/>
      <c r="I249" s="1608">
        <f>+'ATT H-9A'!H16</f>
        <v>0.10939366197352368</v>
      </c>
      <c r="J249" s="1766"/>
    </row>
    <row r="250" spans="2:10">
      <c r="B250" s="1763" t="s">
        <v>298</v>
      </c>
      <c r="C250" s="1764"/>
      <c r="D250" s="1607"/>
      <c r="E250" s="1765"/>
      <c r="F250" s="1765"/>
      <c r="G250" s="1765"/>
      <c r="H250" s="1608">
        <f>+'ATT H-9A'!H37</f>
        <v>0.18463185447367098</v>
      </c>
      <c r="I250" s="1765"/>
      <c r="J250" s="1766"/>
    </row>
    <row r="251" spans="2:10">
      <c r="B251" s="1763" t="s">
        <v>1062</v>
      </c>
      <c r="C251" s="1764"/>
      <c r="D251" s="1607"/>
      <c r="E251" s="1765"/>
      <c r="F251" s="1765"/>
      <c r="G251" s="1608">
        <v>1</v>
      </c>
      <c r="H251" s="1765"/>
      <c r="I251" s="1765"/>
      <c r="J251" s="1766"/>
    </row>
    <row r="252" spans="2:10">
      <c r="B252" s="1763" t="s">
        <v>1063</v>
      </c>
      <c r="C252" s="1764"/>
      <c r="D252" s="1607"/>
      <c r="E252" s="1765"/>
      <c r="F252" s="1608">
        <v>0</v>
      </c>
      <c r="G252" s="1765"/>
      <c r="H252" s="1765"/>
      <c r="I252" s="1765"/>
      <c r="J252" s="1766"/>
    </row>
    <row r="253" spans="2:10">
      <c r="B253" s="1767" t="s">
        <v>1064</v>
      </c>
      <c r="C253" s="1764"/>
      <c r="D253" s="1607"/>
      <c r="E253" s="1765">
        <f>F253+G253+H253+I253</f>
        <v>0</v>
      </c>
      <c r="F253" s="1765">
        <f>F252*F247</f>
        <v>0</v>
      </c>
      <c r="G253" s="1765">
        <f>G247*G251</f>
        <v>0</v>
      </c>
      <c r="H253" s="1765">
        <f>H247*H250</f>
        <v>0</v>
      </c>
      <c r="I253" s="1765">
        <f>I249*I247</f>
        <v>0</v>
      </c>
      <c r="J253" s="1766"/>
    </row>
    <row r="254" spans="2:10">
      <c r="B254" s="1768"/>
      <c r="E254" s="1747"/>
      <c r="F254" s="1747"/>
      <c r="G254" s="1747"/>
      <c r="H254" s="1747"/>
      <c r="I254" s="1747"/>
      <c r="J254" s="1769"/>
    </row>
    <row r="255" spans="2:10">
      <c r="B255" s="1768"/>
      <c r="E255" s="1747"/>
      <c r="F255" s="1747"/>
      <c r="G255" s="1747"/>
      <c r="H255" s="1747"/>
      <c r="I255" s="1747"/>
      <c r="J255" s="1769"/>
    </row>
    <row r="256" spans="2:10">
      <c r="B256" s="1592"/>
      <c r="C256" s="1592"/>
      <c r="D256" s="1592"/>
      <c r="E256" s="1592"/>
      <c r="F256" s="1592"/>
      <c r="G256" s="1592"/>
      <c r="H256" s="1592"/>
      <c r="I256" s="1592"/>
      <c r="J256" s="1592"/>
    </row>
    <row r="257" spans="2:11">
      <c r="B257" s="1592" t="s">
        <v>216</v>
      </c>
      <c r="C257" s="467"/>
      <c r="D257" s="467"/>
      <c r="E257" s="1592" t="s">
        <v>217</v>
      </c>
      <c r="F257" s="1592" t="s">
        <v>1296</v>
      </c>
      <c r="G257" s="1592" t="s">
        <v>1580</v>
      </c>
      <c r="H257" s="1592" t="s">
        <v>1581</v>
      </c>
      <c r="I257" s="1592" t="s">
        <v>1582</v>
      </c>
      <c r="J257" s="1592" t="s">
        <v>1583</v>
      </c>
    </row>
    <row r="258" spans="2:11">
      <c r="B258" s="1748"/>
      <c r="C258" s="467"/>
      <c r="D258" s="467"/>
      <c r="E258" s="1592"/>
      <c r="F258" s="1592" t="s">
        <v>1619</v>
      </c>
      <c r="G258" s="1592" t="s">
        <v>345</v>
      </c>
      <c r="H258" s="1592"/>
      <c r="I258" s="1592"/>
      <c r="J258" s="467"/>
    </row>
    <row r="259" spans="2:11">
      <c r="B259" s="1781"/>
      <c r="C259" s="467"/>
      <c r="D259" s="467"/>
      <c r="E259" s="1592"/>
      <c r="F259" s="1592" t="s">
        <v>1620</v>
      </c>
      <c r="G259" s="1592" t="s">
        <v>275</v>
      </c>
      <c r="H259" s="1592" t="s">
        <v>346</v>
      </c>
      <c r="I259" s="1592" t="s">
        <v>347</v>
      </c>
      <c r="J259" s="467"/>
    </row>
    <row r="260" spans="2:11" ht="16.5" customHeight="1">
      <c r="B260" s="1748" t="s">
        <v>1084</v>
      </c>
      <c r="E260" s="1592" t="s">
        <v>59</v>
      </c>
      <c r="F260" s="1744" t="s">
        <v>1621</v>
      </c>
      <c r="G260" s="1592" t="s">
        <v>348</v>
      </c>
      <c r="H260" s="1592" t="s">
        <v>348</v>
      </c>
      <c r="I260" s="1592" t="s">
        <v>348</v>
      </c>
      <c r="J260" s="1592" t="s">
        <v>352</v>
      </c>
    </row>
    <row r="261" spans="2:11">
      <c r="B261" s="1607" t="s">
        <v>1137</v>
      </c>
      <c r="C261" s="1607"/>
      <c r="D261" s="1607"/>
      <c r="E261" s="1602">
        <f>SUM(F261:I261)</f>
        <v>-223583354.35728568</v>
      </c>
      <c r="F261" s="1765">
        <f>F213</f>
        <v>-136973932.74758422</v>
      </c>
      <c r="G261" s="1765">
        <f>G213</f>
        <v>0</v>
      </c>
      <c r="H261" s="1765">
        <f>H213</f>
        <v>-7542951.85334739</v>
      </c>
      <c r="I261" s="1765">
        <f>I213</f>
        <v>-79066469.756354079</v>
      </c>
      <c r="J261" s="1766"/>
    </row>
    <row r="262" spans="2:11">
      <c r="B262" s="1607" t="s">
        <v>1084</v>
      </c>
      <c r="C262" s="1607"/>
      <c r="D262" s="1607"/>
      <c r="E262" s="1602">
        <f>SUM(F262:I262)</f>
        <v>0</v>
      </c>
      <c r="F262" s="1765">
        <f>F240</f>
        <v>0</v>
      </c>
      <c r="G262" s="1765">
        <f>G240</f>
        <v>0</v>
      </c>
      <c r="H262" s="1765">
        <f>H240</f>
        <v>0</v>
      </c>
      <c r="I262" s="1765">
        <f>I240</f>
        <v>0</v>
      </c>
      <c r="J262" s="1766"/>
    </row>
    <row r="263" spans="2:11">
      <c r="B263" s="1603" t="s">
        <v>1078</v>
      </c>
      <c r="C263" s="1607"/>
      <c r="D263" s="1607"/>
      <c r="E263" s="1765">
        <f>E261+E262</f>
        <v>-223583354.35728568</v>
      </c>
      <c r="F263" s="1765">
        <f>F261+F262</f>
        <v>-136973932.74758422</v>
      </c>
      <c r="G263" s="1765">
        <f>G261+G262</f>
        <v>0</v>
      </c>
      <c r="H263" s="1765">
        <f>H261+H262</f>
        <v>-7542951.85334739</v>
      </c>
      <c r="I263" s="1765">
        <f>I261+I262</f>
        <v>-79066469.756354079</v>
      </c>
      <c r="J263" s="1766"/>
    </row>
    <row r="264" spans="2:11">
      <c r="B264" s="1768"/>
      <c r="E264" s="1747"/>
      <c r="F264" s="1747"/>
      <c r="G264" s="1747"/>
      <c r="H264" s="1747"/>
      <c r="I264" s="1747"/>
      <c r="J264" s="1769"/>
    </row>
    <row r="265" spans="2:11" s="467" customFormat="1">
      <c r="B265" s="1748" t="s">
        <v>377</v>
      </c>
      <c r="G265" s="1785"/>
      <c r="H265" s="1785"/>
      <c r="I265" s="1785"/>
      <c r="J265" s="1786"/>
    </row>
    <row r="266" spans="2:11" s="467" customFormat="1">
      <c r="B266" s="1876" t="s">
        <v>1630</v>
      </c>
      <c r="C266" s="1876"/>
      <c r="D266" s="1876"/>
      <c r="E266" s="1876"/>
      <c r="F266" s="1876"/>
      <c r="G266" s="1876"/>
      <c r="H266" s="1876"/>
      <c r="I266" s="1876"/>
      <c r="J266" s="1786"/>
    </row>
    <row r="267" spans="2:11" s="467" customFormat="1">
      <c r="B267" s="1801" t="s">
        <v>365</v>
      </c>
      <c r="G267" s="1785"/>
      <c r="H267" s="1785"/>
      <c r="I267" s="1785"/>
      <c r="J267" s="1786"/>
    </row>
    <row r="268" spans="2:11" s="467" customFormat="1">
      <c r="B268" s="1801" t="s">
        <v>366</v>
      </c>
      <c r="G268" s="1785"/>
      <c r="H268" s="1785"/>
      <c r="I268" s="1785"/>
      <c r="J268" s="1786"/>
    </row>
    <row r="269" spans="2:11" s="467" customFormat="1">
      <c r="B269" s="1801" t="s">
        <v>367</v>
      </c>
      <c r="G269" s="1785"/>
      <c r="H269" s="1785"/>
      <c r="I269" s="1785"/>
      <c r="J269" s="1786"/>
    </row>
    <row r="270" spans="2:11" s="467" customFormat="1" ht="15.75" customHeight="1">
      <c r="B270" s="1871" t="s">
        <v>368</v>
      </c>
      <c r="C270" s="1871"/>
      <c r="D270" s="1871"/>
      <c r="E270" s="1871"/>
      <c r="F270" s="1871"/>
      <c r="G270" s="1871"/>
      <c r="H270" s="1871"/>
      <c r="I270" s="1871"/>
      <c r="K270" s="1789"/>
    </row>
    <row r="271" spans="2:11" s="467" customFormat="1" ht="15.75" customHeight="1">
      <c r="B271" s="1871"/>
      <c r="C271" s="1871"/>
      <c r="D271" s="1871"/>
      <c r="E271" s="1871"/>
      <c r="F271" s="1871"/>
      <c r="G271" s="1871"/>
      <c r="H271" s="1871"/>
      <c r="I271" s="1871"/>
      <c r="K271" s="1789"/>
    </row>
    <row r="272" spans="2:11" s="467" customFormat="1">
      <c r="B272" s="1788" t="s">
        <v>1086</v>
      </c>
      <c r="G272" s="1785"/>
      <c r="H272" s="1785"/>
      <c r="I272" s="1785"/>
      <c r="J272" s="1786"/>
    </row>
    <row r="273" spans="2:10">
      <c r="B273" s="1801" t="s">
        <v>1080</v>
      </c>
    </row>
    <row r="274" spans="2:10" ht="12" customHeight="1">
      <c r="B274" s="1802"/>
      <c r="C274" s="1803"/>
      <c r="D274" s="1804"/>
      <c r="E274" s="1804"/>
      <c r="F274" s="1804"/>
      <c r="G274" s="1804"/>
      <c r="H274" s="1804"/>
      <c r="I274" s="1804"/>
      <c r="J274" s="1804"/>
    </row>
    <row r="275" spans="2:10" ht="12.75" customHeight="1">
      <c r="B275" s="1802"/>
      <c r="C275" s="1804"/>
      <c r="D275" s="1804"/>
      <c r="E275" s="1804"/>
      <c r="F275" s="1804"/>
      <c r="G275" s="1804"/>
      <c r="H275" s="1804"/>
      <c r="I275" s="1804"/>
      <c r="J275" s="1804"/>
    </row>
    <row r="276" spans="2:10">
      <c r="B276" s="1592" t="s">
        <v>216</v>
      </c>
      <c r="C276" s="467"/>
      <c r="D276" s="467"/>
      <c r="E276" s="1592" t="s">
        <v>217</v>
      </c>
      <c r="F276" s="1592" t="s">
        <v>1296</v>
      </c>
      <c r="G276" s="1592" t="s">
        <v>1580</v>
      </c>
      <c r="H276" s="1592" t="s">
        <v>1581</v>
      </c>
      <c r="I276" s="1592" t="s">
        <v>1582</v>
      </c>
      <c r="J276" s="1592" t="s">
        <v>1583</v>
      </c>
    </row>
    <row r="277" spans="2:10">
      <c r="B277" s="1748"/>
      <c r="C277" s="467"/>
      <c r="D277" s="467"/>
      <c r="E277" s="1592"/>
      <c r="F277" s="1592" t="s">
        <v>1619</v>
      </c>
      <c r="G277" s="1592" t="s">
        <v>345</v>
      </c>
      <c r="H277" s="1592"/>
      <c r="I277" s="1592"/>
      <c r="J277" s="467"/>
    </row>
    <row r="278" spans="2:10">
      <c r="B278" s="1781"/>
      <c r="C278" s="467"/>
      <c r="D278" s="467"/>
      <c r="E278" s="1592"/>
      <c r="F278" s="1592" t="s">
        <v>1620</v>
      </c>
      <c r="G278" s="1592" t="s">
        <v>275</v>
      </c>
      <c r="H278" s="1592" t="s">
        <v>346</v>
      </c>
      <c r="I278" s="1592" t="s">
        <v>347</v>
      </c>
      <c r="J278" s="467"/>
    </row>
    <row r="279" spans="2:10">
      <c r="B279" s="1748" t="s">
        <v>1632</v>
      </c>
      <c r="E279" s="1592" t="s">
        <v>59</v>
      </c>
      <c r="F279" s="1744" t="s">
        <v>1621</v>
      </c>
      <c r="G279" s="1592" t="s">
        <v>348</v>
      </c>
      <c r="H279" s="1592" t="s">
        <v>348</v>
      </c>
      <c r="I279" s="1592" t="s">
        <v>348</v>
      </c>
      <c r="J279" s="1592" t="s">
        <v>352</v>
      </c>
    </row>
    <row r="280" spans="2:10">
      <c r="B280" s="1598"/>
      <c r="C280" s="1770"/>
      <c r="D280" s="1772"/>
      <c r="E280" s="1599"/>
      <c r="F280" s="1599"/>
      <c r="G280" s="1599"/>
      <c r="H280" s="1599"/>
      <c r="I280" s="1599"/>
      <c r="J280" s="1613"/>
    </row>
    <row r="281" spans="2:10">
      <c r="B281" s="1598" t="s">
        <v>1633</v>
      </c>
      <c r="C281" s="1770"/>
      <c r="D281" s="1772"/>
      <c r="E281" s="1599">
        <f>SUM(F281:I281)</f>
        <v>-1542914</v>
      </c>
      <c r="F281" s="1599"/>
      <c r="G281" s="1599"/>
      <c r="H281" s="1599">
        <v>-1542914</v>
      </c>
      <c r="I281" s="1599"/>
      <c r="J281" s="1613"/>
    </row>
    <row r="282" spans="2:10">
      <c r="B282" s="1598"/>
      <c r="C282" s="1770"/>
      <c r="D282" s="1772"/>
      <c r="E282" s="1599"/>
      <c r="F282" s="1599"/>
      <c r="G282" s="1599"/>
      <c r="H282" s="1599"/>
      <c r="I282" s="1599"/>
      <c r="J282" s="1613"/>
    </row>
    <row r="283" spans="2:10">
      <c r="B283" s="1598"/>
      <c r="C283" s="1770"/>
      <c r="D283" s="1772"/>
      <c r="E283" s="1599"/>
      <c r="F283" s="1599"/>
      <c r="G283" s="1599"/>
      <c r="H283" s="1599"/>
      <c r="I283" s="1599"/>
      <c r="J283" s="1613"/>
    </row>
    <row r="284" spans="2:10">
      <c r="B284" s="1598"/>
      <c r="C284" s="1770"/>
      <c r="D284" s="1772"/>
      <c r="E284" s="1599"/>
      <c r="F284" s="1599"/>
      <c r="G284" s="1599"/>
      <c r="H284" s="1599"/>
      <c r="I284" s="1599"/>
      <c r="J284" s="1613"/>
    </row>
    <row r="285" spans="2:10">
      <c r="B285" s="1598"/>
      <c r="C285" s="1770"/>
      <c r="D285" s="1772"/>
      <c r="E285" s="1599"/>
      <c r="F285" s="1599"/>
      <c r="G285" s="1599"/>
      <c r="H285" s="1599"/>
      <c r="I285" s="1599"/>
      <c r="J285" s="1613"/>
    </row>
    <row r="286" spans="2:10">
      <c r="B286" s="1598"/>
      <c r="C286" s="1770"/>
      <c r="D286" s="1772"/>
      <c r="E286" s="1599"/>
      <c r="F286" s="1599"/>
      <c r="G286" s="1599"/>
      <c r="H286" s="1599"/>
      <c r="I286" s="1599"/>
      <c r="J286" s="1613"/>
    </row>
    <row r="287" spans="2:10">
      <c r="B287" s="1603" t="s">
        <v>1634</v>
      </c>
      <c r="C287" s="1777"/>
      <c r="D287" s="1760"/>
      <c r="E287" s="1602">
        <f>SUM(E280:E286)</f>
        <v>-1542914</v>
      </c>
      <c r="F287" s="1602">
        <f>SUM(F280:F286)</f>
        <v>0</v>
      </c>
      <c r="G287" s="1602">
        <f>SUM(G280:G286)</f>
        <v>0</v>
      </c>
      <c r="H287" s="1602">
        <f>SUM(H280:H286)</f>
        <v>-1542914</v>
      </c>
      <c r="I287" s="1602">
        <f>SUM(I280:I286)</f>
        <v>0</v>
      </c>
      <c r="J287" s="1761"/>
    </row>
    <row r="288" spans="2:10">
      <c r="B288" s="1603"/>
      <c r="C288" s="1760"/>
      <c r="D288" s="1760"/>
      <c r="E288" s="1602"/>
      <c r="F288" s="1602"/>
      <c r="G288" s="1602"/>
      <c r="H288" s="1602"/>
      <c r="I288" s="1602"/>
      <c r="J288" s="1761"/>
    </row>
    <row r="289" spans="2:10">
      <c r="B289" s="1604" t="s">
        <v>1635</v>
      </c>
      <c r="C289" s="1762"/>
      <c r="D289" s="1776"/>
      <c r="E289" s="1605"/>
      <c r="F289" s="1599"/>
      <c r="G289" s="1599"/>
      <c r="H289" s="1599">
        <f>-H281</f>
        <v>1542914</v>
      </c>
      <c r="I289" s="1599"/>
      <c r="J289" s="1606"/>
    </row>
    <row r="290" spans="2:10" ht="5.0999999999999996" customHeight="1">
      <c r="B290" s="1601"/>
      <c r="C290" s="1759"/>
      <c r="D290" s="1760"/>
      <c r="E290" s="1602"/>
      <c r="F290" s="1602"/>
      <c r="G290" s="1602"/>
      <c r="H290" s="1602"/>
      <c r="I290" s="1602"/>
      <c r="J290" s="1761"/>
    </row>
    <row r="291" spans="2:10">
      <c r="B291" s="1603" t="s">
        <v>1636</v>
      </c>
      <c r="C291" s="1760"/>
      <c r="D291" s="1760"/>
      <c r="E291" s="1602">
        <f>SUM(E289:E289)+E287</f>
        <v>-1542914</v>
      </c>
      <c r="F291" s="1602">
        <f>SUM(F289:F289)+F287</f>
        <v>0</v>
      </c>
      <c r="G291" s="1602">
        <f>SUM(G289:G289)+G287</f>
        <v>0</v>
      </c>
      <c r="H291" s="1602">
        <f>SUM(H289:H289)+H287</f>
        <v>0</v>
      </c>
      <c r="I291" s="1602">
        <f>SUM(I289:I289)+I287</f>
        <v>0</v>
      </c>
      <c r="J291" s="1761"/>
    </row>
    <row r="292" spans="2:10">
      <c r="B292" s="1808"/>
      <c r="C292" s="1607"/>
      <c r="D292" s="1607"/>
      <c r="E292" s="1765"/>
      <c r="F292" s="1602"/>
      <c r="G292" s="1602"/>
      <c r="H292" s="1602"/>
      <c r="I292" s="1602"/>
      <c r="J292" s="1766"/>
    </row>
    <row r="293" spans="2:10">
      <c r="B293" s="1763" t="s">
        <v>351</v>
      </c>
      <c r="C293" s="1764"/>
      <c r="D293" s="1607"/>
      <c r="E293" s="1765"/>
      <c r="F293" s="1765"/>
      <c r="G293" s="1765"/>
      <c r="H293" s="1765"/>
      <c r="I293" s="1608">
        <f>+'ATT H-9A'!H16</f>
        <v>0.10939366197352368</v>
      </c>
      <c r="J293" s="1766"/>
    </row>
    <row r="294" spans="2:10">
      <c r="B294" s="1763" t="s">
        <v>298</v>
      </c>
      <c r="C294" s="1764"/>
      <c r="D294" s="1607"/>
      <c r="E294" s="1765"/>
      <c r="F294" s="1765"/>
      <c r="G294" s="1765"/>
      <c r="H294" s="1608">
        <f>+'ATT H-9A'!H37</f>
        <v>0.18463185447367098</v>
      </c>
      <c r="I294" s="1765"/>
      <c r="J294" s="1766"/>
    </row>
    <row r="295" spans="2:10">
      <c r="B295" s="1763" t="s">
        <v>1062</v>
      </c>
      <c r="C295" s="1764"/>
      <c r="D295" s="1607"/>
      <c r="E295" s="1765"/>
      <c r="F295" s="1765"/>
      <c r="G295" s="1608">
        <v>1</v>
      </c>
      <c r="H295" s="1765"/>
      <c r="I295" s="1765"/>
      <c r="J295" s="1766"/>
    </row>
    <row r="296" spans="2:10">
      <c r="B296" s="1763" t="s">
        <v>1063</v>
      </c>
      <c r="C296" s="1764"/>
      <c r="D296" s="1607"/>
      <c r="E296" s="1765"/>
      <c r="F296" s="1608">
        <v>0</v>
      </c>
      <c r="G296" s="1765"/>
      <c r="H296" s="1765"/>
      <c r="I296" s="1765"/>
      <c r="J296" s="1766"/>
    </row>
    <row r="297" spans="2:10">
      <c r="B297" s="1764" t="s">
        <v>1637</v>
      </c>
      <c r="C297" s="1764"/>
      <c r="D297" s="1607"/>
      <c r="E297" s="1765">
        <f>F297+G297+H297+I297</f>
        <v>0</v>
      </c>
      <c r="F297" s="1765">
        <f>F296*F291</f>
        <v>0</v>
      </c>
      <c r="G297" s="1765">
        <f>G291*G295</f>
        <v>0</v>
      </c>
      <c r="H297" s="1765">
        <f>H291*H294</f>
        <v>0</v>
      </c>
      <c r="I297" s="1765">
        <f>I293*I291</f>
        <v>0</v>
      </c>
      <c r="J297" s="1766"/>
    </row>
    <row r="298" spans="2:10" ht="12.75" customHeight="1">
      <c r="B298" s="1802"/>
      <c r="C298" s="1804"/>
      <c r="D298" s="1804"/>
      <c r="E298" s="1804"/>
      <c r="F298" s="1804"/>
      <c r="G298" s="1804"/>
      <c r="H298" s="1804"/>
      <c r="I298" s="1804"/>
      <c r="J298" s="1804"/>
    </row>
    <row r="299" spans="2:10" ht="12.75" customHeight="1">
      <c r="B299" s="1802"/>
      <c r="C299" s="1804"/>
      <c r="D299" s="1804"/>
      <c r="E299" s="1804"/>
      <c r="F299" s="1804"/>
      <c r="G299" s="1804"/>
      <c r="H299" s="1804"/>
      <c r="I299" s="1804"/>
      <c r="J299" s="1804"/>
    </row>
    <row r="300" spans="2:10">
      <c r="B300" s="1592" t="s">
        <v>216</v>
      </c>
      <c r="C300" s="467"/>
      <c r="D300" s="467"/>
      <c r="E300" s="1592" t="s">
        <v>217</v>
      </c>
      <c r="F300" s="1592" t="s">
        <v>1296</v>
      </c>
      <c r="G300" s="1592" t="s">
        <v>1580</v>
      </c>
      <c r="H300" s="1592" t="s">
        <v>1581</v>
      </c>
      <c r="I300" s="1592" t="s">
        <v>1582</v>
      </c>
      <c r="J300" s="1592" t="s">
        <v>1583</v>
      </c>
    </row>
    <row r="301" spans="2:10">
      <c r="B301" s="1748"/>
      <c r="C301" s="467"/>
      <c r="D301" s="467"/>
      <c r="E301" s="1592"/>
      <c r="F301" s="1592" t="s">
        <v>1619</v>
      </c>
      <c r="G301" s="1592" t="s">
        <v>345</v>
      </c>
      <c r="H301" s="1592"/>
      <c r="I301" s="1592"/>
      <c r="J301" s="467"/>
    </row>
    <row r="302" spans="2:10">
      <c r="B302" s="1781"/>
      <c r="C302" s="467"/>
      <c r="D302" s="467"/>
      <c r="E302" s="1592"/>
      <c r="F302" s="1592" t="s">
        <v>1620</v>
      </c>
      <c r="G302" s="1592" t="s">
        <v>275</v>
      </c>
      <c r="H302" s="1592" t="s">
        <v>346</v>
      </c>
      <c r="I302" s="1592" t="s">
        <v>347</v>
      </c>
      <c r="J302" s="467"/>
    </row>
    <row r="303" spans="2:10">
      <c r="B303" s="1748" t="s">
        <v>1476</v>
      </c>
      <c r="E303" s="1592" t="s">
        <v>59</v>
      </c>
      <c r="F303" s="1744" t="s">
        <v>1621</v>
      </c>
      <c r="G303" s="1592" t="s">
        <v>348</v>
      </c>
      <c r="H303" s="1592" t="s">
        <v>348</v>
      </c>
      <c r="I303" s="1592" t="s">
        <v>348</v>
      </c>
      <c r="J303" s="1592" t="s">
        <v>352</v>
      </c>
    </row>
    <row r="304" spans="2:10">
      <c r="B304" s="1598"/>
      <c r="C304" s="1770"/>
      <c r="D304" s="1772"/>
      <c r="E304" s="1599"/>
      <c r="F304" s="1599"/>
      <c r="G304" s="1599"/>
      <c r="H304" s="1599"/>
      <c r="I304" s="1599"/>
      <c r="J304" s="1613"/>
    </row>
    <row r="305" spans="1:10">
      <c r="B305" s="1598" t="s">
        <v>1476</v>
      </c>
      <c r="C305" s="1770"/>
      <c r="D305" s="1772"/>
      <c r="E305" s="1599">
        <f>SUM(F305:I305)</f>
        <v>131126</v>
      </c>
      <c r="F305" s="1599"/>
      <c r="G305" s="1599"/>
      <c r="H305" s="1599">
        <f>H281-'1C - ADIT BOY'!H276</f>
        <v>131126</v>
      </c>
      <c r="I305" s="1599"/>
      <c r="J305" s="1613"/>
    </row>
    <row r="306" spans="1:10">
      <c r="B306" s="1598"/>
      <c r="C306" s="1770"/>
      <c r="D306" s="1772"/>
      <c r="E306" s="1599"/>
      <c r="F306" s="1599"/>
      <c r="G306" s="1599"/>
      <c r="H306" s="1599"/>
      <c r="I306" s="1599"/>
      <c r="J306" s="1613"/>
    </row>
    <row r="307" spans="1:10">
      <c r="B307" s="1598"/>
      <c r="C307" s="1770"/>
      <c r="D307" s="1772"/>
      <c r="E307" s="1599"/>
      <c r="F307" s="1599"/>
      <c r="G307" s="1599"/>
      <c r="H307" s="1599"/>
      <c r="I307" s="1599"/>
      <c r="J307" s="1613"/>
    </row>
    <row r="308" spans="1:10">
      <c r="B308" s="1598"/>
      <c r="C308" s="1770"/>
      <c r="D308" s="1772"/>
      <c r="E308" s="1599"/>
      <c r="F308" s="1599"/>
      <c r="G308" s="1599"/>
      <c r="H308" s="1599"/>
      <c r="I308" s="1599"/>
      <c r="J308" s="1613"/>
    </row>
    <row r="309" spans="1:10">
      <c r="B309" s="1598"/>
      <c r="C309" s="1770"/>
      <c r="D309" s="1772"/>
      <c r="E309" s="1599"/>
      <c r="F309" s="1599"/>
      <c r="G309" s="1599"/>
      <c r="H309" s="1599"/>
      <c r="I309" s="1599"/>
      <c r="J309" s="1613"/>
    </row>
    <row r="310" spans="1:10">
      <c r="B310" s="1598"/>
      <c r="C310" s="1770"/>
      <c r="D310" s="1772"/>
      <c r="E310" s="1599"/>
      <c r="F310" s="1599"/>
      <c r="G310" s="1599"/>
      <c r="H310" s="1599"/>
      <c r="I310" s="1599"/>
      <c r="J310" s="1613"/>
    </row>
    <row r="311" spans="1:10">
      <c r="B311" s="1603" t="s">
        <v>1638</v>
      </c>
      <c r="C311" s="1809"/>
      <c r="D311" s="1760"/>
      <c r="E311" s="1602">
        <f>SUM(E304:E310)</f>
        <v>131126</v>
      </c>
      <c r="F311" s="1602">
        <f>SUM(F304:F310)</f>
        <v>0</v>
      </c>
      <c r="G311" s="1602">
        <f>SUM(G304:G310)</f>
        <v>0</v>
      </c>
      <c r="H311" s="1602">
        <f>SUM(H304:H310)</f>
        <v>131126</v>
      </c>
      <c r="I311" s="1602">
        <f>SUM(I304:I310)</f>
        <v>0</v>
      </c>
      <c r="J311" s="1761"/>
    </row>
    <row r="312" spans="1:10">
      <c r="B312" s="1778"/>
      <c r="C312" s="1611"/>
      <c r="D312" s="1611"/>
      <c r="E312" s="1765"/>
      <c r="F312" s="1602"/>
      <c r="G312" s="1602"/>
      <c r="H312" s="1602"/>
      <c r="I312" s="1602"/>
      <c r="J312" s="1766"/>
    </row>
    <row r="313" spans="1:10">
      <c r="B313" s="1779" t="s">
        <v>351</v>
      </c>
      <c r="C313" s="1780"/>
      <c r="D313" s="1607"/>
      <c r="E313" s="1765"/>
      <c r="F313" s="1765"/>
      <c r="G313" s="1765"/>
      <c r="H313" s="1765"/>
      <c r="I313" s="1608">
        <f>+'ATT H-9A'!H16</f>
        <v>0.10939366197352368</v>
      </c>
      <c r="J313" s="1766"/>
    </row>
    <row r="314" spans="1:10">
      <c r="B314" s="1763" t="s">
        <v>298</v>
      </c>
      <c r="C314" s="1764"/>
      <c r="D314" s="1607"/>
      <c r="E314" s="1765"/>
      <c r="F314" s="1765"/>
      <c r="G314" s="1765"/>
      <c r="H314" s="1608">
        <f>+'ATT H-9A'!H37</f>
        <v>0.18463185447367098</v>
      </c>
      <c r="I314" s="1765"/>
      <c r="J314" s="1766"/>
    </row>
    <row r="315" spans="1:10">
      <c r="B315" s="1763" t="s">
        <v>1062</v>
      </c>
      <c r="C315" s="1764"/>
      <c r="D315" s="1607"/>
      <c r="E315" s="1765"/>
      <c r="F315" s="1765"/>
      <c r="G315" s="1608">
        <v>1</v>
      </c>
      <c r="H315" s="1765"/>
      <c r="I315" s="1765"/>
      <c r="J315" s="1766"/>
    </row>
    <row r="316" spans="1:10">
      <c r="B316" s="1763" t="s">
        <v>1063</v>
      </c>
      <c r="C316" s="1764"/>
      <c r="D316" s="1607"/>
      <c r="E316" s="1765"/>
      <c r="F316" s="1608">
        <v>0</v>
      </c>
      <c r="G316" s="1765"/>
      <c r="H316" s="1765"/>
      <c r="I316" s="1765"/>
      <c r="J316" s="1766"/>
    </row>
    <row r="317" spans="1:10">
      <c r="B317" s="1767" t="s">
        <v>1639</v>
      </c>
      <c r="C317" s="1764"/>
      <c r="D317" s="1607"/>
      <c r="E317" s="1765">
        <f>F317+G317+H317+I317</f>
        <v>24210.036549714579</v>
      </c>
      <c r="F317" s="1765">
        <f>F316*F311</f>
        <v>0</v>
      </c>
      <c r="G317" s="1765">
        <f>G311*G315</f>
        <v>0</v>
      </c>
      <c r="H317" s="1765">
        <f>H311*H314</f>
        <v>24210.036549714579</v>
      </c>
      <c r="I317" s="1765">
        <f>I313*I311</f>
        <v>0</v>
      </c>
      <c r="J317" s="1766"/>
    </row>
    <row r="318" spans="1:10">
      <c r="G318" s="1595"/>
    </row>
    <row r="320" spans="1:10" s="1469" customFormat="1" ht="15.75">
      <c r="A320" s="1614" t="s">
        <v>598</v>
      </c>
      <c r="B320" s="1615"/>
      <c r="C320" s="1615"/>
      <c r="D320" s="324"/>
      <c r="E320" s="324"/>
      <c r="F320" s="757"/>
      <c r="G320" s="324"/>
      <c r="H320" s="324"/>
      <c r="I320" s="324"/>
      <c r="J320" s="324"/>
    </row>
  </sheetData>
  <mergeCells count="12">
    <mergeCell ref="B270:I271"/>
    <mergeCell ref="A1:K1"/>
    <mergeCell ref="A2:K2"/>
    <mergeCell ref="A3:K3"/>
    <mergeCell ref="B6:J6"/>
    <mergeCell ref="B24:I26"/>
    <mergeCell ref="B29:I31"/>
    <mergeCell ref="B120:I120"/>
    <mergeCell ref="B124:I125"/>
    <mergeCell ref="B190:I190"/>
    <mergeCell ref="B194:I195"/>
    <mergeCell ref="B266:I266"/>
  </mergeCells>
  <pageMargins left="0.25" right="0.25" top="0.75" bottom="0.75" header="0.3" footer="0.3"/>
  <pageSetup scale="40" fitToHeight="0" orientation="landscape" r:id="rId1"/>
  <rowBreaks count="5" manualBreakCount="5">
    <brk id="32" max="16383" man="1"/>
    <brk id="118" max="16383" man="1"/>
    <brk id="152" max="16383" man="1"/>
    <brk id="199" max="16383" man="1"/>
    <brk id="27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594C-E26E-4CCC-B652-1AA72E01F2A7}">
  <dimension ref="A1:R315"/>
  <sheetViews>
    <sheetView topLeftCell="A211" zoomScale="59" zoomScaleNormal="59" workbookViewId="0">
      <selection activeCell="F211" sqref="F211"/>
    </sheetView>
  </sheetViews>
  <sheetFormatPr defaultRowHeight="12.75"/>
  <cols>
    <col min="1" max="1" width="5.7109375" style="1590" customWidth="1"/>
    <col min="2" max="2" width="11.42578125" style="1591" customWidth="1"/>
    <col min="3" max="3" width="75.140625" style="1590" customWidth="1"/>
    <col min="4" max="4" width="0.5703125" style="1590" customWidth="1"/>
    <col min="5" max="5" width="29.140625" style="1590" customWidth="1"/>
    <col min="6" max="6" width="26.42578125" style="1590" customWidth="1"/>
    <col min="7" max="7" width="18.85546875" style="1590" customWidth="1"/>
    <col min="8" max="8" width="27.85546875" style="1590" customWidth="1"/>
    <col min="9" max="9" width="28.85546875" style="1590" customWidth="1"/>
    <col min="10" max="10" width="85.7109375" style="1590" customWidth="1"/>
    <col min="11" max="11" width="5.7109375" style="1590" customWidth="1"/>
    <col min="12" max="16384" width="9.140625" style="1590"/>
  </cols>
  <sheetData>
    <row r="1" spans="1:18" ht="15.75">
      <c r="A1" s="1872" t="s">
        <v>344</v>
      </c>
      <c r="B1" s="1872"/>
      <c r="C1" s="1872"/>
      <c r="D1" s="1872"/>
      <c r="E1" s="1872"/>
      <c r="F1" s="1872"/>
      <c r="G1" s="1872"/>
      <c r="H1" s="1872"/>
      <c r="I1" s="1872"/>
      <c r="J1" s="1872"/>
      <c r="K1" s="1872"/>
    </row>
    <row r="2" spans="1:18" ht="15.75">
      <c r="A2" s="1873" t="s">
        <v>1025</v>
      </c>
      <c r="B2" s="1873"/>
      <c r="C2" s="1873"/>
      <c r="D2" s="1873"/>
      <c r="E2" s="1873"/>
      <c r="F2" s="1873"/>
      <c r="G2" s="1873"/>
      <c r="H2" s="1873"/>
      <c r="I2" s="1873"/>
      <c r="J2" s="1873"/>
      <c r="K2" s="1873"/>
    </row>
    <row r="3" spans="1:18" ht="15.75">
      <c r="A3" s="1872" t="s">
        <v>1640</v>
      </c>
      <c r="B3" s="1872"/>
      <c r="C3" s="1872"/>
      <c r="D3" s="1872"/>
      <c r="E3" s="1872"/>
      <c r="F3" s="1872"/>
      <c r="G3" s="1872"/>
      <c r="H3" s="1872"/>
      <c r="I3" s="1872"/>
      <c r="J3" s="1872"/>
      <c r="K3" s="1872"/>
    </row>
    <row r="4" spans="1:18">
      <c r="B4" s="1740"/>
    </row>
    <row r="5" spans="1:18">
      <c r="I5" s="1741"/>
    </row>
    <row r="6" spans="1:18">
      <c r="B6" s="1874" t="s">
        <v>2006</v>
      </c>
      <c r="C6" s="1874"/>
      <c r="D6" s="1874"/>
      <c r="E6" s="1874"/>
      <c r="F6" s="1874"/>
      <c r="G6" s="1874"/>
      <c r="H6" s="1874"/>
      <c r="I6" s="1874"/>
      <c r="J6" s="1874"/>
    </row>
    <row r="7" spans="1:18">
      <c r="F7" s="1592" t="s">
        <v>1619</v>
      </c>
      <c r="G7" s="1742" t="s">
        <v>345</v>
      </c>
      <c r="H7" s="1742"/>
    </row>
    <row r="8" spans="1:18">
      <c r="F8" s="1592" t="s">
        <v>1620</v>
      </c>
      <c r="G8" s="1742" t="s">
        <v>275</v>
      </c>
      <c r="H8" s="1742" t="s">
        <v>346</v>
      </c>
      <c r="I8" s="1742" t="s">
        <v>347</v>
      </c>
    </row>
    <row r="9" spans="1:18">
      <c r="B9" s="1743" t="s">
        <v>693</v>
      </c>
      <c r="C9" s="1743" t="s">
        <v>1055</v>
      </c>
      <c r="E9" s="1744" t="s">
        <v>59</v>
      </c>
      <c r="F9" s="1744" t="s">
        <v>1621</v>
      </c>
      <c r="G9" s="1745" t="s">
        <v>348</v>
      </c>
      <c r="H9" s="1745" t="s">
        <v>348</v>
      </c>
      <c r="I9" s="1745" t="s">
        <v>348</v>
      </c>
    </row>
    <row r="10" spans="1:18" ht="5.0999999999999996" customHeight="1"/>
    <row r="11" spans="1:18">
      <c r="B11" s="1591">
        <v>1</v>
      </c>
      <c r="C11" s="1746" t="s">
        <v>350</v>
      </c>
      <c r="E11" s="1593">
        <f>F11+G11+H11+I11</f>
        <v>4230945.8316455213</v>
      </c>
      <c r="F11" s="1593">
        <f>F75</f>
        <v>0</v>
      </c>
      <c r="G11" s="1593">
        <f>G75</f>
        <v>0</v>
      </c>
      <c r="H11" s="1593">
        <f>H75</f>
        <v>2379855.2377274875</v>
      </c>
      <c r="I11" s="1593">
        <f>I75</f>
        <v>1851090.5939180341</v>
      </c>
    </row>
    <row r="12" spans="1:18">
      <c r="B12" s="1591">
        <f>B11+1</f>
        <v>2</v>
      </c>
      <c r="C12" s="1746" t="s">
        <v>1056</v>
      </c>
      <c r="E12" s="1593">
        <f>F12+G12+H12+I12</f>
        <v>0</v>
      </c>
      <c r="F12" s="1593">
        <v>0</v>
      </c>
      <c r="G12" s="1593">
        <v>0</v>
      </c>
      <c r="H12" s="1593">
        <v>0</v>
      </c>
      <c r="I12" s="1593">
        <v>0</v>
      </c>
      <c r="O12" s="1747"/>
      <c r="P12" s="1747"/>
      <c r="Q12" s="1747"/>
      <c r="R12" s="1747"/>
    </row>
    <row r="13" spans="1:18">
      <c r="B13" s="1591">
        <f>B12+1</f>
        <v>3</v>
      </c>
      <c r="C13" s="1746" t="s">
        <v>1057</v>
      </c>
      <c r="E13" s="1593">
        <f>F13+G13+H13+I13</f>
        <v>-127832552.84048045</v>
      </c>
      <c r="F13" s="1593">
        <f>F146</f>
        <v>0</v>
      </c>
      <c r="G13" s="1593">
        <f>G146</f>
        <v>0</v>
      </c>
      <c r="H13" s="1593">
        <f>H146</f>
        <v>-127832552.84048045</v>
      </c>
      <c r="I13" s="1593">
        <f>I146</f>
        <v>0</v>
      </c>
      <c r="O13" s="1747"/>
      <c r="P13" s="1747"/>
      <c r="Q13" s="1747"/>
      <c r="R13" s="1747"/>
    </row>
    <row r="14" spans="1:18">
      <c r="B14" s="1591">
        <f>B13+1</f>
        <v>4</v>
      </c>
      <c r="C14" s="1746" t="s">
        <v>349</v>
      </c>
      <c r="E14" s="1593">
        <f>F14+G14+H14+I14</f>
        <v>-11317285.97173845</v>
      </c>
      <c r="F14" s="1593">
        <f>F221</f>
        <v>0</v>
      </c>
      <c r="G14" s="1593">
        <f>G221</f>
        <v>-306075.32342999999</v>
      </c>
      <c r="H14" s="1593">
        <f>H221</f>
        <v>-1334316.9242202265</v>
      </c>
      <c r="I14" s="1593">
        <f>I221</f>
        <v>-9676893.7240882237</v>
      </c>
      <c r="O14" s="1747"/>
      <c r="P14" s="1747"/>
      <c r="Q14" s="1747"/>
      <c r="R14" s="1747"/>
    </row>
    <row r="15" spans="1:18">
      <c r="B15" s="1591">
        <f>B14+1</f>
        <v>5</v>
      </c>
      <c r="C15" s="1746" t="s">
        <v>378</v>
      </c>
      <c r="E15" s="1593">
        <f>F15+G15+H15+I15</f>
        <v>0</v>
      </c>
      <c r="F15" s="1593">
        <f>F292</f>
        <v>0</v>
      </c>
      <c r="G15" s="1593">
        <f>G292</f>
        <v>0</v>
      </c>
      <c r="H15" s="1593">
        <f>H292</f>
        <v>0</v>
      </c>
      <c r="I15" s="1593">
        <f>I292</f>
        <v>0</v>
      </c>
      <c r="O15" s="1747"/>
      <c r="P15" s="1747"/>
      <c r="Q15" s="1747"/>
      <c r="R15" s="1747"/>
    </row>
    <row r="16" spans="1:18" ht="5.0999999999999996" customHeight="1">
      <c r="E16" s="1594"/>
      <c r="F16" s="1594"/>
      <c r="G16" s="1594"/>
      <c r="H16" s="1594"/>
      <c r="I16" s="1594"/>
    </row>
    <row r="17" spans="2:10">
      <c r="B17" s="1591">
        <f>B16+6</f>
        <v>6</v>
      </c>
      <c r="C17" s="1748" t="s">
        <v>1058</v>
      </c>
      <c r="E17" s="1593">
        <f>E11+E12+E13+E14+E15</f>
        <v>-134918892.98057339</v>
      </c>
      <c r="F17" s="1593">
        <f>F11+F12+F13+F14+F15</f>
        <v>0</v>
      </c>
      <c r="G17" s="1593">
        <f>G11+G12+G13+G14+G15</f>
        <v>-306075.32342999999</v>
      </c>
      <c r="H17" s="1593">
        <f>H11+H12+H13+H14+H15</f>
        <v>-126787014.52697317</v>
      </c>
      <c r="I17" s="1593">
        <f>I11+I12+I13+I14+I15</f>
        <v>-7825803.1301701898</v>
      </c>
      <c r="J17" s="1749"/>
    </row>
    <row r="18" spans="2:10">
      <c r="C18" s="1591"/>
      <c r="F18" s="1747"/>
      <c r="G18" s="1747"/>
      <c r="H18" s="1747"/>
      <c r="I18" s="1595"/>
    </row>
    <row r="19" spans="2:10">
      <c r="C19" s="1591"/>
      <c r="F19" s="1747"/>
      <c r="G19" s="1747"/>
      <c r="H19" s="1747"/>
      <c r="I19" s="1595"/>
    </row>
    <row r="20" spans="2:10">
      <c r="B20" s="1750" t="s">
        <v>693</v>
      </c>
      <c r="C20" s="1750" t="s">
        <v>1622</v>
      </c>
      <c r="D20" s="467"/>
      <c r="E20" s="1744" t="s">
        <v>59</v>
      </c>
      <c r="F20" s="467"/>
      <c r="G20" s="467"/>
      <c r="H20" s="467"/>
      <c r="I20" s="1596"/>
    </row>
    <row r="21" spans="2:10">
      <c r="B21" s="467"/>
      <c r="C21" s="467"/>
      <c r="D21" s="467"/>
      <c r="E21" s="467"/>
      <c r="F21" s="467"/>
      <c r="G21" s="467"/>
      <c r="H21" s="467"/>
      <c r="I21" s="1596"/>
    </row>
    <row r="22" spans="2:10">
      <c r="B22" s="1751">
        <f>B17+1</f>
        <v>7</v>
      </c>
      <c r="C22" s="1590" t="s">
        <v>1623</v>
      </c>
      <c r="E22" s="1597">
        <v>-3292178.4386906996</v>
      </c>
      <c r="I22" s="1752"/>
    </row>
    <row r="23" spans="2:10">
      <c r="B23" s="1590"/>
    </row>
    <row r="24" spans="2:10" ht="12.75" customHeight="1">
      <c r="B24" s="1875" t="s">
        <v>1624</v>
      </c>
      <c r="C24" s="1875"/>
      <c r="D24" s="1875"/>
      <c r="E24" s="1875"/>
      <c r="F24" s="1875"/>
      <c r="G24" s="1875"/>
      <c r="H24" s="1875"/>
      <c r="I24" s="1875"/>
    </row>
    <row r="25" spans="2:10">
      <c r="B25" s="1875"/>
      <c r="C25" s="1875"/>
      <c r="D25" s="1875"/>
      <c r="E25" s="1875"/>
      <c r="F25" s="1875"/>
      <c r="G25" s="1875"/>
      <c r="H25" s="1875"/>
      <c r="I25" s="1875"/>
    </row>
    <row r="26" spans="2:10">
      <c r="B26" s="1875"/>
      <c r="C26" s="1875"/>
      <c r="D26" s="1875"/>
      <c r="E26" s="1875"/>
      <c r="F26" s="1875"/>
      <c r="G26" s="1875"/>
      <c r="H26" s="1875"/>
      <c r="I26" s="1875"/>
    </row>
    <row r="28" spans="2:10" ht="15" customHeight="1">
      <c r="B28" s="1875" t="s">
        <v>1625</v>
      </c>
      <c r="C28" s="1875"/>
      <c r="D28" s="1875"/>
      <c r="E28" s="1875"/>
      <c r="F28" s="1875"/>
      <c r="G28" s="1875"/>
      <c r="H28" s="1875"/>
      <c r="I28" s="1875"/>
      <c r="J28" s="1753"/>
    </row>
    <row r="29" spans="2:10">
      <c r="B29" s="1875"/>
      <c r="C29" s="1875"/>
      <c r="D29" s="1875"/>
      <c r="E29" s="1875"/>
      <c r="F29" s="1875"/>
      <c r="G29" s="1875"/>
      <c r="H29" s="1875"/>
      <c r="I29" s="1875"/>
      <c r="J29" s="1753"/>
    </row>
    <row r="30" spans="2:10">
      <c r="B30" s="1875"/>
      <c r="C30" s="1875"/>
      <c r="D30" s="1875"/>
      <c r="E30" s="1875"/>
      <c r="F30" s="1875"/>
      <c r="G30" s="1875"/>
      <c r="H30" s="1875"/>
      <c r="I30" s="1875"/>
      <c r="J30" s="1753"/>
    </row>
    <row r="31" spans="2:10">
      <c r="I31" s="1741"/>
    </row>
    <row r="32" spans="2:10">
      <c r="C32" s="1591"/>
      <c r="F32" s="1747"/>
      <c r="G32" s="1747"/>
      <c r="H32" s="1747"/>
      <c r="I32" s="1595"/>
    </row>
    <row r="33" spans="2:10">
      <c r="B33" s="1592" t="s">
        <v>216</v>
      </c>
      <c r="C33" s="1592"/>
      <c r="D33" s="1592"/>
      <c r="E33" s="1592" t="s">
        <v>217</v>
      </c>
      <c r="F33" s="1592" t="s">
        <v>1296</v>
      </c>
      <c r="G33" s="1592" t="s">
        <v>1580</v>
      </c>
      <c r="H33" s="1592" t="s">
        <v>1581</v>
      </c>
      <c r="I33" s="1592" t="s">
        <v>1582</v>
      </c>
      <c r="J33" s="1592" t="s">
        <v>1583</v>
      </c>
    </row>
    <row r="34" spans="2:10">
      <c r="B34" s="1748"/>
      <c r="C34" s="467"/>
      <c r="D34" s="467"/>
      <c r="E34" s="1592"/>
      <c r="F34" s="1592" t="s">
        <v>1619</v>
      </c>
      <c r="G34" s="1592" t="s">
        <v>345</v>
      </c>
      <c r="H34" s="1592"/>
      <c r="I34" s="1592"/>
      <c r="J34" s="467"/>
    </row>
    <row r="35" spans="2:10">
      <c r="B35" s="1754"/>
      <c r="C35" s="467" t="s">
        <v>101</v>
      </c>
      <c r="D35" s="467"/>
      <c r="E35" s="1592"/>
      <c r="F35" s="1592" t="s">
        <v>1620</v>
      </c>
      <c r="G35" s="1592" t="s">
        <v>275</v>
      </c>
      <c r="H35" s="1592" t="s">
        <v>346</v>
      </c>
      <c r="I35" s="1592" t="s">
        <v>347</v>
      </c>
      <c r="J35" s="467"/>
    </row>
    <row r="36" spans="2:10">
      <c r="B36" s="1748" t="s">
        <v>1059</v>
      </c>
      <c r="C36" s="467"/>
      <c r="D36" s="467"/>
      <c r="E36" s="1592" t="s">
        <v>59</v>
      </c>
      <c r="F36" s="1744" t="s">
        <v>1621</v>
      </c>
      <c r="G36" s="1592" t="s">
        <v>348</v>
      </c>
      <c r="H36" s="1592" t="s">
        <v>348</v>
      </c>
      <c r="I36" s="1592" t="s">
        <v>348</v>
      </c>
      <c r="J36" s="1592" t="s">
        <v>352</v>
      </c>
    </row>
    <row r="37" spans="2:10" ht="25.5">
      <c r="B37" s="1755" t="s">
        <v>1900</v>
      </c>
      <c r="C37" s="1756"/>
      <c r="D37" s="1810"/>
      <c r="E37" s="1758">
        <f>SUM(F37:I37)</f>
        <v>2107224.2412519897</v>
      </c>
      <c r="F37" s="1758">
        <v>0</v>
      </c>
      <c r="G37" s="1758">
        <v>0</v>
      </c>
      <c r="H37" s="1758">
        <v>0</v>
      </c>
      <c r="I37" s="1758">
        <v>2107224.2412519897</v>
      </c>
      <c r="J37" s="1600" t="s">
        <v>1934</v>
      </c>
    </row>
    <row r="38" spans="2:10" ht="25.5">
      <c r="B38" s="1755" t="s">
        <v>1236</v>
      </c>
      <c r="C38" s="1756"/>
      <c r="D38" s="1810"/>
      <c r="E38" s="1758">
        <f t="shared" ref="E38:E61" si="0">SUM(F38:I38)</f>
        <v>2439459.7452698997</v>
      </c>
      <c r="F38" s="1811">
        <v>0</v>
      </c>
      <c r="G38" s="1758">
        <v>0</v>
      </c>
      <c r="H38" s="1758">
        <v>0</v>
      </c>
      <c r="I38" s="1758">
        <v>2439459.7452698997</v>
      </c>
      <c r="J38" s="1600" t="s">
        <v>1934</v>
      </c>
    </row>
    <row r="39" spans="2:10">
      <c r="B39" s="1755" t="s">
        <v>1901</v>
      </c>
      <c r="C39" s="1756"/>
      <c r="D39" s="1810"/>
      <c r="E39" s="1758">
        <f t="shared" si="0"/>
        <v>12586438.855843699</v>
      </c>
      <c r="F39" s="1758">
        <v>12586438.855843699</v>
      </c>
      <c r="G39" s="1758">
        <v>0</v>
      </c>
      <c r="H39" s="1758">
        <v>0</v>
      </c>
      <c r="I39" s="1758">
        <v>0</v>
      </c>
      <c r="J39" s="1600" t="s">
        <v>1935</v>
      </c>
    </row>
    <row r="40" spans="2:10" ht="42.75" customHeight="1">
      <c r="B40" s="1755" t="s">
        <v>1906</v>
      </c>
      <c r="C40" s="1756"/>
      <c r="D40" s="1810"/>
      <c r="E40" s="1758">
        <f t="shared" si="0"/>
        <v>35824100</v>
      </c>
      <c r="F40" s="1758">
        <v>35824100</v>
      </c>
      <c r="G40" s="1758">
        <v>0</v>
      </c>
      <c r="H40" s="1758">
        <v>0</v>
      </c>
      <c r="I40" s="1758">
        <v>0</v>
      </c>
      <c r="J40" s="1738" t="s">
        <v>1936</v>
      </c>
    </row>
    <row r="41" spans="2:10" ht="25.5">
      <c r="B41" s="1755" t="s">
        <v>1902</v>
      </c>
      <c r="C41" s="1756"/>
      <c r="D41" s="1810"/>
      <c r="E41" s="1758">
        <f t="shared" si="0"/>
        <v>6365990.5550040994</v>
      </c>
      <c r="F41" s="1758">
        <v>0</v>
      </c>
      <c r="G41" s="1758">
        <v>0</v>
      </c>
      <c r="H41" s="1758">
        <v>0</v>
      </c>
      <c r="I41" s="1758">
        <v>6365990.5550040994</v>
      </c>
      <c r="J41" s="1600" t="s">
        <v>1934</v>
      </c>
    </row>
    <row r="42" spans="2:10" ht="25.5">
      <c r="B42" s="1755" t="s">
        <v>1905</v>
      </c>
      <c r="C42" s="1756"/>
      <c r="D42" s="1810"/>
      <c r="E42" s="1758">
        <f t="shared" si="0"/>
        <v>4503498.7127008</v>
      </c>
      <c r="F42" s="1758">
        <v>4503498.7127008</v>
      </c>
      <c r="G42" s="1758">
        <v>0</v>
      </c>
      <c r="H42" s="1758">
        <v>0</v>
      </c>
      <c r="I42" s="1758">
        <v>0</v>
      </c>
      <c r="J42" s="1600" t="s">
        <v>1934</v>
      </c>
    </row>
    <row r="43" spans="2:10" ht="25.5">
      <c r="B43" s="1755" t="s">
        <v>1903</v>
      </c>
      <c r="C43" s="1756"/>
      <c r="D43" s="1810"/>
      <c r="E43" s="1758">
        <f t="shared" si="0"/>
        <v>147443.16358149998</v>
      </c>
      <c r="F43" s="1758">
        <v>0</v>
      </c>
      <c r="G43" s="1758">
        <v>0</v>
      </c>
      <c r="H43" s="1758">
        <v>0</v>
      </c>
      <c r="I43" s="1758">
        <v>147443.16358149998</v>
      </c>
      <c r="J43" s="1600" t="s">
        <v>1934</v>
      </c>
    </row>
    <row r="44" spans="2:10" ht="25.5">
      <c r="B44" s="1755" t="s">
        <v>1539</v>
      </c>
      <c r="C44" s="1756"/>
      <c r="D44" s="1810"/>
      <c r="E44" s="1758">
        <f t="shared" si="0"/>
        <v>19404.702461999997</v>
      </c>
      <c r="F44" s="1758">
        <v>0</v>
      </c>
      <c r="G44" s="1758">
        <v>0</v>
      </c>
      <c r="H44" s="1758">
        <v>0</v>
      </c>
      <c r="I44" s="1758">
        <v>19404.702461999997</v>
      </c>
      <c r="J44" s="1600" t="s">
        <v>1934</v>
      </c>
    </row>
    <row r="45" spans="2:10">
      <c r="B45" s="1755" t="s">
        <v>1783</v>
      </c>
      <c r="C45" s="1756"/>
      <c r="D45" s="1810"/>
      <c r="E45" s="1758">
        <f t="shared" si="0"/>
        <v>228223.60457369999</v>
      </c>
      <c r="F45" s="1758">
        <v>0</v>
      </c>
      <c r="G45" s="1758">
        <v>0</v>
      </c>
      <c r="H45" s="1758">
        <v>0</v>
      </c>
      <c r="I45" s="1758">
        <v>228223.60457369999</v>
      </c>
      <c r="J45" s="1600" t="s">
        <v>1935</v>
      </c>
    </row>
    <row r="46" spans="2:10">
      <c r="B46" s="1755" t="s">
        <v>1238</v>
      </c>
      <c r="C46" s="1756"/>
      <c r="D46" s="1810"/>
      <c r="E46" s="1758">
        <f t="shared" si="0"/>
        <v>1835481.1074699999</v>
      </c>
      <c r="F46" s="1758">
        <v>0</v>
      </c>
      <c r="G46" s="1758">
        <v>0</v>
      </c>
      <c r="H46" s="1758">
        <v>0</v>
      </c>
      <c r="I46" s="1758">
        <v>1835481.1074699999</v>
      </c>
      <c r="J46" s="1600" t="s">
        <v>1935</v>
      </c>
    </row>
    <row r="47" spans="2:10">
      <c r="B47" s="1755" t="s">
        <v>1904</v>
      </c>
      <c r="C47" s="1756"/>
      <c r="D47" s="1810"/>
      <c r="E47" s="1758">
        <f t="shared" si="0"/>
        <v>10435859.849788699</v>
      </c>
      <c r="F47" s="1758">
        <v>0</v>
      </c>
      <c r="G47" s="1758">
        <v>0</v>
      </c>
      <c r="H47" s="1758">
        <v>0</v>
      </c>
      <c r="I47" s="1758">
        <v>10435859.849788699</v>
      </c>
      <c r="J47" s="1600" t="s">
        <v>1935</v>
      </c>
    </row>
    <row r="48" spans="2:10">
      <c r="B48" s="1755" t="s">
        <v>354</v>
      </c>
      <c r="C48" s="1756"/>
      <c r="D48" s="1810"/>
      <c r="E48" s="1758">
        <f t="shared" si="0"/>
        <v>5708652.1379544996</v>
      </c>
      <c r="F48" s="1758">
        <v>5708652.1379544996</v>
      </c>
      <c r="G48" s="1758">
        <v>0</v>
      </c>
      <c r="H48" s="1758">
        <v>0</v>
      </c>
      <c r="I48" s="1758">
        <v>0</v>
      </c>
      <c r="J48" s="1600" t="s">
        <v>1935</v>
      </c>
    </row>
    <row r="49" spans="2:10" ht="25.5">
      <c r="B49" s="1755" t="s">
        <v>1907</v>
      </c>
      <c r="C49" s="1756"/>
      <c r="D49" s="1810"/>
      <c r="E49" s="1758">
        <f t="shared" si="0"/>
        <v>11301584.298082598</v>
      </c>
      <c r="F49" s="1758">
        <v>11301584.298082598</v>
      </c>
      <c r="G49" s="1758">
        <v>0</v>
      </c>
      <c r="H49" s="1758">
        <v>0</v>
      </c>
      <c r="I49" s="1758">
        <v>0</v>
      </c>
      <c r="J49" s="1600" t="s">
        <v>1934</v>
      </c>
    </row>
    <row r="50" spans="2:10" ht="25.5">
      <c r="B50" s="1755" t="s">
        <v>353</v>
      </c>
      <c r="C50" s="1756"/>
      <c r="D50" s="1810"/>
      <c r="E50" s="1758">
        <f t="shared" si="0"/>
        <v>599457.396634</v>
      </c>
      <c r="F50" s="1758">
        <v>599457.396634</v>
      </c>
      <c r="G50" s="1758">
        <v>0</v>
      </c>
      <c r="H50" s="1758">
        <v>0</v>
      </c>
      <c r="I50" s="1758">
        <v>0</v>
      </c>
      <c r="J50" s="1600" t="s">
        <v>1934</v>
      </c>
    </row>
    <row r="51" spans="2:10" ht="25.5">
      <c r="B51" s="1755" t="s">
        <v>1908</v>
      </c>
      <c r="C51" s="1756"/>
      <c r="D51" s="1810"/>
      <c r="E51" s="1758">
        <f t="shared" si="0"/>
        <v>22488.140618699999</v>
      </c>
      <c r="F51" s="1758">
        <v>0</v>
      </c>
      <c r="G51" s="1758">
        <v>0</v>
      </c>
      <c r="H51" s="1758">
        <v>0</v>
      </c>
      <c r="I51" s="1758">
        <v>22488.140618699999</v>
      </c>
      <c r="J51" s="1600" t="s">
        <v>1934</v>
      </c>
    </row>
    <row r="52" spans="2:10">
      <c r="B52" s="1755" t="s">
        <v>1812</v>
      </c>
      <c r="C52" s="1756"/>
      <c r="D52" s="1810"/>
      <c r="E52" s="1758">
        <f t="shared" si="0"/>
        <v>4429661.062203899</v>
      </c>
      <c r="F52" s="1758">
        <v>4429661.062203899</v>
      </c>
      <c r="G52" s="1758">
        <v>0</v>
      </c>
      <c r="H52" s="1758">
        <v>0</v>
      </c>
      <c r="I52" s="1758">
        <v>0</v>
      </c>
      <c r="J52" s="1600" t="s">
        <v>1935</v>
      </c>
    </row>
    <row r="53" spans="2:10">
      <c r="B53" s="1755" t="s">
        <v>1909</v>
      </c>
      <c r="C53" s="1756"/>
      <c r="D53" s="1810"/>
      <c r="E53" s="1758">
        <f t="shared" si="0"/>
        <v>414075.60728290014</v>
      </c>
      <c r="F53" s="1758">
        <v>414075.60728290014</v>
      </c>
      <c r="G53" s="1758">
        <v>0</v>
      </c>
      <c r="H53" s="1758">
        <v>0</v>
      </c>
      <c r="I53" s="1758">
        <v>0</v>
      </c>
      <c r="J53" s="1600" t="s">
        <v>1935</v>
      </c>
    </row>
    <row r="54" spans="2:10">
      <c r="B54" s="1755" t="s">
        <v>1910</v>
      </c>
      <c r="C54" s="1756"/>
      <c r="D54" s="1810"/>
      <c r="E54" s="1758">
        <f t="shared" si="0"/>
        <v>2522849.4907615473</v>
      </c>
      <c r="F54" s="1758">
        <v>2522849.4907615473</v>
      </c>
      <c r="G54" s="1758">
        <v>0</v>
      </c>
      <c r="H54" s="1758">
        <v>0</v>
      </c>
      <c r="I54" s="1758">
        <v>0</v>
      </c>
      <c r="J54" s="1600" t="s">
        <v>1935</v>
      </c>
    </row>
    <row r="55" spans="2:10">
      <c r="B55" s="1755" t="s">
        <v>1911</v>
      </c>
      <c r="C55" s="1756"/>
      <c r="D55" s="1810"/>
      <c r="E55" s="1758">
        <f t="shared" si="0"/>
        <v>490930.92013319995</v>
      </c>
      <c r="F55" s="1758">
        <v>490930.92013319995</v>
      </c>
      <c r="G55" s="1758">
        <v>0</v>
      </c>
      <c r="H55" s="1758">
        <v>0</v>
      </c>
      <c r="I55" s="1758">
        <v>0</v>
      </c>
      <c r="J55" s="1600" t="s">
        <v>1935</v>
      </c>
    </row>
    <row r="56" spans="2:10" ht="25.5">
      <c r="B56" s="1755" t="s">
        <v>1913</v>
      </c>
      <c r="C56" s="1756"/>
      <c r="D56" s="1810"/>
      <c r="E56" s="1758">
        <f t="shared" si="0"/>
        <v>18262.620000000003</v>
      </c>
      <c r="F56" s="1758">
        <v>18262.620000000003</v>
      </c>
      <c r="G56" s="1758">
        <v>0</v>
      </c>
      <c r="H56" s="1758">
        <v>0</v>
      </c>
      <c r="I56" s="1758">
        <v>0</v>
      </c>
      <c r="J56" s="1738" t="s">
        <v>1937</v>
      </c>
    </row>
    <row r="57" spans="2:10">
      <c r="B57" s="1755" t="s">
        <v>1801</v>
      </c>
      <c r="C57" s="1756"/>
      <c r="D57" s="1810"/>
      <c r="E57" s="1758">
        <f t="shared" si="0"/>
        <v>11922.42</v>
      </c>
      <c r="F57" s="1758">
        <v>11922.42</v>
      </c>
      <c r="G57" s="1758">
        <v>0</v>
      </c>
      <c r="H57" s="1758">
        <v>0</v>
      </c>
      <c r="I57" s="1758">
        <v>0</v>
      </c>
      <c r="J57" s="1600" t="s">
        <v>1935</v>
      </c>
    </row>
    <row r="58" spans="2:10">
      <c r="B58" s="1755" t="s">
        <v>1912</v>
      </c>
      <c r="C58" s="1756"/>
      <c r="D58" s="1810"/>
      <c r="E58" s="1758">
        <f t="shared" si="0"/>
        <v>13147109.27</v>
      </c>
      <c r="F58" s="1758">
        <v>0</v>
      </c>
      <c r="G58" s="1758">
        <v>0</v>
      </c>
      <c r="H58" s="1758">
        <v>13147109.27</v>
      </c>
      <c r="I58" s="1758">
        <v>0</v>
      </c>
      <c r="J58" s="1600" t="s">
        <v>1935</v>
      </c>
    </row>
    <row r="59" spans="2:10">
      <c r="B59" s="1755" t="s">
        <v>1914</v>
      </c>
      <c r="C59" s="1756"/>
      <c r="D59" s="1810"/>
      <c r="E59" s="1758">
        <f t="shared" si="0"/>
        <v>461315.20279999997</v>
      </c>
      <c r="F59" s="1758">
        <v>0</v>
      </c>
      <c r="G59" s="1758">
        <v>0</v>
      </c>
      <c r="H59" s="1758">
        <v>461315.20279999997</v>
      </c>
      <c r="I59" s="1758">
        <v>0</v>
      </c>
      <c r="J59" s="1600" t="s">
        <v>1935</v>
      </c>
    </row>
    <row r="60" spans="2:10" ht="51">
      <c r="B60" s="1755" t="s">
        <v>1926</v>
      </c>
      <c r="C60" s="1756"/>
      <c r="D60" s="1810"/>
      <c r="E60" s="1758">
        <f t="shared" si="0"/>
        <v>-32404.276299999998</v>
      </c>
      <c r="F60" s="1758">
        <v>-32404.276299999998</v>
      </c>
      <c r="G60" s="1758">
        <v>0</v>
      </c>
      <c r="H60" s="1758">
        <v>0</v>
      </c>
      <c r="I60" s="1758">
        <v>0</v>
      </c>
      <c r="J60" s="1600" t="s">
        <v>1938</v>
      </c>
    </row>
    <row r="61" spans="2:10" ht="38.25">
      <c r="B61" s="1755" t="s">
        <v>1927</v>
      </c>
      <c r="C61" s="1756"/>
      <c r="D61" s="1757"/>
      <c r="E61" s="1758">
        <f t="shared" si="0"/>
        <v>196742042.17188218</v>
      </c>
      <c r="F61" s="1758">
        <v>196742042.17188218</v>
      </c>
      <c r="G61" s="1758">
        <v>0</v>
      </c>
      <c r="H61" s="1758">
        <v>0</v>
      </c>
      <c r="I61" s="1758">
        <v>0</v>
      </c>
      <c r="J61" s="1600" t="s">
        <v>1939</v>
      </c>
    </row>
    <row r="62" spans="2:10">
      <c r="B62" s="1601" t="s">
        <v>1060</v>
      </c>
      <c r="C62" s="1759"/>
      <c r="D62" s="1760"/>
      <c r="E62" s="1602">
        <f>SUM(E37:E61)</f>
        <v>312331070.99999994</v>
      </c>
      <c r="F62" s="1602">
        <f>SUM(F37:F61)</f>
        <v>275121071.41717935</v>
      </c>
      <c r="G62" s="1602">
        <f>SUM(G37:G61)</f>
        <v>0</v>
      </c>
      <c r="H62" s="1602">
        <f>SUM(H37:H61)</f>
        <v>13608424.4728</v>
      </c>
      <c r="I62" s="1602">
        <f>SUM(I37:I61)</f>
        <v>23601575.110020589</v>
      </c>
      <c r="J62" s="1761"/>
    </row>
    <row r="63" spans="2:10">
      <c r="B63" s="1603"/>
      <c r="C63" s="1760"/>
      <c r="D63" s="1760"/>
      <c r="E63" s="1602"/>
      <c r="F63" s="1602"/>
      <c r="G63" s="1602"/>
      <c r="H63" s="1602"/>
      <c r="I63" s="1602"/>
      <c r="J63" s="1761"/>
    </row>
    <row r="64" spans="2:10">
      <c r="B64" s="1604" t="s">
        <v>1626</v>
      </c>
      <c r="C64" s="1762"/>
      <c r="D64" s="1762"/>
      <c r="E64" s="1599">
        <f t="shared" ref="E64:E67" si="1">SUM(F64:I64)</f>
        <v>0</v>
      </c>
      <c r="F64" s="1599"/>
      <c r="G64" s="1599"/>
      <c r="H64" s="1599"/>
      <c r="I64" s="1599"/>
      <c r="J64" s="1606"/>
    </row>
    <row r="65" spans="2:10">
      <c r="B65" s="1604" t="s">
        <v>1627</v>
      </c>
      <c r="C65" s="1762"/>
      <c r="D65" s="1762"/>
      <c r="E65" s="1599">
        <f t="shared" si="1"/>
        <v>-461315.20279999997</v>
      </c>
      <c r="F65" s="1599">
        <v>0</v>
      </c>
      <c r="G65" s="1599">
        <v>0</v>
      </c>
      <c r="H65" s="1599">
        <v>-461315.20279999997</v>
      </c>
      <c r="I65" s="1599">
        <v>0</v>
      </c>
      <c r="J65" s="1606"/>
    </row>
    <row r="66" spans="2:10">
      <c r="B66" s="1604" t="s">
        <v>1628</v>
      </c>
      <c r="C66" s="1762"/>
      <c r="D66" s="1762"/>
      <c r="E66" s="1599">
        <f t="shared" si="1"/>
        <v>-196742042.17188218</v>
      </c>
      <c r="F66" s="1599">
        <v>-196742042.17188218</v>
      </c>
      <c r="G66" s="1599">
        <v>0</v>
      </c>
      <c r="H66" s="1599">
        <v>0</v>
      </c>
      <c r="I66" s="1599">
        <v>0</v>
      </c>
      <c r="J66" s="1606"/>
    </row>
    <row r="67" spans="2:10">
      <c r="B67" s="1604" t="s">
        <v>1138</v>
      </c>
      <c r="C67" s="1762"/>
      <c r="D67" s="1762"/>
      <c r="E67" s="1599">
        <f t="shared" si="1"/>
        <v>-6365990.5550040994</v>
      </c>
      <c r="F67" s="1599">
        <v>0</v>
      </c>
      <c r="G67" s="1599">
        <v>0</v>
      </c>
      <c r="H67" s="1599">
        <v>0</v>
      </c>
      <c r="I67" s="1599">
        <v>-6365990.5550040994</v>
      </c>
      <c r="J67" s="1606"/>
    </row>
    <row r="68" spans="2:10" ht="5.0999999999999996" customHeight="1">
      <c r="B68" s="1601"/>
      <c r="C68" s="1759"/>
      <c r="D68" s="1760"/>
      <c r="E68" s="1602"/>
      <c r="F68" s="1602"/>
      <c r="G68" s="1602"/>
      <c r="H68" s="1602"/>
      <c r="I68" s="1602"/>
      <c r="J68" s="1761"/>
    </row>
    <row r="69" spans="2:10">
      <c r="B69" s="1603" t="s">
        <v>1061</v>
      </c>
      <c r="C69" s="1760"/>
      <c r="D69" s="1760"/>
      <c r="E69" s="1602">
        <f>SUM(E64:E68)+E62</f>
        <v>108761723.07031366</v>
      </c>
      <c r="F69" s="1602">
        <f>SUM(F64:F68)+F62</f>
        <v>78379029.245297164</v>
      </c>
      <c r="G69" s="1602">
        <f>SUM(G64:G68)+G62</f>
        <v>0</v>
      </c>
      <c r="H69" s="1602">
        <f>SUM(H64:H68)+H62</f>
        <v>13147109.27</v>
      </c>
      <c r="I69" s="1602">
        <f>SUM(I64:I68)+I62</f>
        <v>17235584.555016488</v>
      </c>
      <c r="J69" s="1761"/>
    </row>
    <row r="70" spans="2:10">
      <c r="B70" s="1603"/>
      <c r="C70" s="1760"/>
      <c r="D70" s="1760"/>
      <c r="E70" s="1602"/>
      <c r="F70" s="1602"/>
      <c r="G70" s="1602"/>
      <c r="H70" s="1602"/>
      <c r="I70" s="1602"/>
      <c r="J70" s="1761"/>
    </row>
    <row r="71" spans="2:10">
      <c r="B71" s="1763" t="s">
        <v>351</v>
      </c>
      <c r="C71" s="1764"/>
      <c r="D71" s="1607"/>
      <c r="E71" s="1765"/>
      <c r="F71" s="1765"/>
      <c r="G71" s="1765"/>
      <c r="H71" s="1765"/>
      <c r="I71" s="1608">
        <v>0.10739935091898387</v>
      </c>
      <c r="J71" s="1766"/>
    </row>
    <row r="72" spans="2:10">
      <c r="B72" s="1763" t="s">
        <v>298</v>
      </c>
      <c r="C72" s="1764"/>
      <c r="D72" s="1607"/>
      <c r="E72" s="1765"/>
      <c r="F72" s="1765"/>
      <c r="G72" s="1765"/>
      <c r="H72" s="1608">
        <v>0.18101737719317576</v>
      </c>
      <c r="I72" s="1765"/>
      <c r="J72" s="1766"/>
    </row>
    <row r="73" spans="2:10">
      <c r="B73" s="1763" t="s">
        <v>1062</v>
      </c>
      <c r="C73" s="1764"/>
      <c r="D73" s="1607"/>
      <c r="E73" s="1765"/>
      <c r="F73" s="1765"/>
      <c r="G73" s="1608">
        <v>1</v>
      </c>
      <c r="H73" s="1765"/>
      <c r="I73" s="1765"/>
      <c r="J73" s="1766"/>
    </row>
    <row r="74" spans="2:10">
      <c r="B74" s="1763" t="s">
        <v>1063</v>
      </c>
      <c r="C74" s="1764"/>
      <c r="D74" s="1607"/>
      <c r="E74" s="1765"/>
      <c r="F74" s="1608">
        <v>0</v>
      </c>
      <c r="G74" s="1765"/>
      <c r="H74" s="1765"/>
      <c r="I74" s="1765"/>
      <c r="J74" s="1766"/>
    </row>
    <row r="75" spans="2:10">
      <c r="B75" s="1767" t="s">
        <v>1064</v>
      </c>
      <c r="C75" s="1764"/>
      <c r="D75" s="1607"/>
      <c r="E75" s="1765">
        <f>F75+G75+H75+I75</f>
        <v>4230945.8316455213</v>
      </c>
      <c r="F75" s="1765">
        <f>F74*F69</f>
        <v>0</v>
      </c>
      <c r="G75" s="1765">
        <f>G69*G73</f>
        <v>0</v>
      </c>
      <c r="H75" s="1765">
        <f>H69*H72</f>
        <v>2379855.2377274875</v>
      </c>
      <c r="I75" s="1765">
        <f>I71*I69</f>
        <v>1851090.5939180341</v>
      </c>
      <c r="J75" s="1766"/>
    </row>
    <row r="76" spans="2:10">
      <c r="B76" s="1768"/>
      <c r="E76" s="1747"/>
      <c r="F76" s="1747"/>
      <c r="G76" s="1747"/>
      <c r="H76" s="1747"/>
      <c r="I76" s="1747"/>
      <c r="J76" s="1769"/>
    </row>
    <row r="77" spans="2:10">
      <c r="B77" s="1748"/>
      <c r="E77" s="1747"/>
      <c r="F77" s="1747"/>
      <c r="G77" s="1747"/>
      <c r="H77" s="1747"/>
      <c r="I77" s="1747"/>
      <c r="J77" s="1769"/>
    </row>
    <row r="78" spans="2:10">
      <c r="B78" s="1592" t="s">
        <v>216</v>
      </c>
      <c r="C78" s="1592"/>
      <c r="D78" s="1592"/>
      <c r="E78" s="1592" t="s">
        <v>217</v>
      </c>
      <c r="F78" s="1592" t="s">
        <v>1296</v>
      </c>
      <c r="G78" s="1592" t="s">
        <v>1580</v>
      </c>
      <c r="H78" s="1592" t="s">
        <v>1581</v>
      </c>
      <c r="I78" s="1592" t="s">
        <v>1582</v>
      </c>
      <c r="J78" s="1592" t="s">
        <v>1583</v>
      </c>
    </row>
    <row r="79" spans="2:10">
      <c r="B79" s="1748"/>
      <c r="C79" s="467"/>
      <c r="D79" s="467"/>
      <c r="E79" s="1592"/>
      <c r="F79" s="1592" t="s">
        <v>1619</v>
      </c>
      <c r="G79" s="1592" t="s">
        <v>345</v>
      </c>
      <c r="H79" s="1592"/>
      <c r="I79" s="1592"/>
      <c r="J79" s="467"/>
    </row>
    <row r="80" spans="2:10">
      <c r="B80" s="1754"/>
      <c r="C80" s="467"/>
      <c r="D80" s="467"/>
      <c r="E80" s="1592"/>
      <c r="F80" s="1592" t="s">
        <v>1620</v>
      </c>
      <c r="G80" s="1592" t="s">
        <v>275</v>
      </c>
      <c r="H80" s="1592" t="s">
        <v>346</v>
      </c>
      <c r="I80" s="1592" t="s">
        <v>347</v>
      </c>
      <c r="J80" s="467"/>
    </row>
    <row r="81" spans="2:10">
      <c r="B81" s="1748" t="s">
        <v>1065</v>
      </c>
      <c r="C81" s="467"/>
      <c r="D81" s="467"/>
      <c r="E81" s="1592" t="s">
        <v>59</v>
      </c>
      <c r="F81" s="1744" t="s">
        <v>1621</v>
      </c>
      <c r="G81" s="1592" t="s">
        <v>348</v>
      </c>
      <c r="H81" s="1592" t="s">
        <v>348</v>
      </c>
      <c r="I81" s="1592" t="s">
        <v>348</v>
      </c>
      <c r="J81" s="1592" t="s">
        <v>352</v>
      </c>
    </row>
    <row r="82" spans="2:10">
      <c r="B82" s="1598"/>
      <c r="C82" s="1770"/>
      <c r="D82" s="1771"/>
      <c r="E82" s="1599"/>
      <c r="F82" s="1599"/>
      <c r="G82" s="1599"/>
      <c r="H82" s="1599"/>
      <c r="I82" s="1599"/>
      <c r="J82" s="1600"/>
    </row>
    <row r="83" spans="2:10">
      <c r="B83" s="1598"/>
      <c r="C83" s="1770"/>
      <c r="D83" s="1772"/>
      <c r="E83" s="1599"/>
      <c r="F83" s="1599"/>
      <c r="G83" s="1599"/>
      <c r="H83" s="1599"/>
      <c r="I83" s="1599"/>
      <c r="J83" s="1600"/>
    </row>
    <row r="84" spans="2:10">
      <c r="B84" s="1598"/>
      <c r="C84" s="1770"/>
      <c r="D84" s="1772"/>
      <c r="E84" s="1599"/>
      <c r="F84" s="1599"/>
      <c r="G84" s="1599"/>
      <c r="H84" s="1599"/>
      <c r="I84" s="1599"/>
      <c r="J84" s="1600"/>
    </row>
    <row r="85" spans="2:10">
      <c r="B85" s="1598"/>
      <c r="C85" s="1770"/>
      <c r="D85" s="1772"/>
      <c r="E85" s="1599"/>
      <c r="F85" s="1599"/>
      <c r="G85" s="1599"/>
      <c r="H85" s="1599"/>
      <c r="I85" s="1599"/>
      <c r="J85" s="1600"/>
    </row>
    <row r="86" spans="2:10">
      <c r="B86" s="1598"/>
      <c r="C86" s="1770"/>
      <c r="D86" s="1772"/>
      <c r="E86" s="1599"/>
      <c r="F86" s="1599"/>
      <c r="G86" s="1599"/>
      <c r="H86" s="1599"/>
      <c r="I86" s="1599"/>
      <c r="J86" s="1600"/>
    </row>
    <row r="87" spans="2:10">
      <c r="B87" s="1598"/>
      <c r="C87" s="1770"/>
      <c r="D87" s="1772"/>
      <c r="E87" s="1599"/>
      <c r="F87" s="1599"/>
      <c r="G87" s="1599"/>
      <c r="H87" s="1599"/>
      <c r="I87" s="1599"/>
      <c r="J87" s="1600"/>
    </row>
    <row r="88" spans="2:10">
      <c r="B88" s="1598"/>
      <c r="C88" s="1770"/>
      <c r="D88" s="1771"/>
      <c r="E88" s="1773"/>
      <c r="F88" s="1773"/>
      <c r="G88" s="1773"/>
      <c r="H88" s="1773"/>
      <c r="I88" s="1773"/>
      <c r="J88" s="1774"/>
    </row>
    <row r="89" spans="2:10">
      <c r="B89" s="1603" t="s">
        <v>1066</v>
      </c>
      <c r="C89" s="1760"/>
      <c r="D89" s="1760"/>
      <c r="E89" s="1602">
        <f>SUM(E82:E88)</f>
        <v>0</v>
      </c>
      <c r="F89" s="1602">
        <f>SUM(F82:F88)</f>
        <v>0</v>
      </c>
      <c r="G89" s="1602">
        <f>SUM(G82:G88)</f>
        <v>0</v>
      </c>
      <c r="H89" s="1602">
        <f>SUM(H82:H88)</f>
        <v>0</v>
      </c>
      <c r="I89" s="1602">
        <f>SUM(I82:I88)</f>
        <v>0</v>
      </c>
      <c r="J89" s="1761"/>
    </row>
    <row r="90" spans="2:10">
      <c r="B90" s="1603"/>
      <c r="C90" s="1760"/>
      <c r="D90" s="1760"/>
      <c r="E90" s="1602"/>
      <c r="F90" s="1602"/>
      <c r="G90" s="1602"/>
      <c r="H90" s="1602"/>
      <c r="I90" s="1602"/>
      <c r="J90" s="1761"/>
    </row>
    <row r="91" spans="2:10">
      <c r="B91" s="1609" t="s">
        <v>1626</v>
      </c>
      <c r="C91" s="1775"/>
      <c r="D91" s="1776"/>
      <c r="E91" s="1605"/>
      <c r="F91" s="1599"/>
      <c r="G91" s="1599"/>
      <c r="H91" s="1599"/>
      <c r="I91" s="1599"/>
      <c r="J91" s="1606"/>
    </row>
    <row r="92" spans="2:10">
      <c r="B92" s="1604" t="s">
        <v>1627</v>
      </c>
      <c r="C92" s="1762"/>
      <c r="D92" s="1776"/>
      <c r="E92" s="1605"/>
      <c r="F92" s="1599"/>
      <c r="G92" s="1599"/>
      <c r="H92" s="1599"/>
      <c r="I92" s="1599"/>
      <c r="J92" s="1606"/>
    </row>
    <row r="93" spans="2:10">
      <c r="B93" s="1604" t="s">
        <v>1628</v>
      </c>
      <c r="C93" s="1762"/>
      <c r="D93" s="1776"/>
      <c r="E93" s="1605"/>
      <c r="F93" s="1599"/>
      <c r="G93" s="1599"/>
      <c r="H93" s="1599"/>
      <c r="I93" s="1599"/>
      <c r="J93" s="1606"/>
    </row>
    <row r="94" spans="2:10">
      <c r="B94" s="1604" t="s">
        <v>1138</v>
      </c>
      <c r="C94" s="1762"/>
      <c r="D94" s="1776"/>
      <c r="E94" s="1605"/>
      <c r="F94" s="1599"/>
      <c r="G94" s="1599"/>
      <c r="H94" s="1599"/>
      <c r="I94" s="1599"/>
      <c r="J94" s="1606"/>
    </row>
    <row r="95" spans="2:10" ht="5.0999999999999996" customHeight="1">
      <c r="B95" s="1601"/>
      <c r="C95" s="1759"/>
      <c r="D95" s="1760"/>
      <c r="E95" s="1602"/>
      <c r="F95" s="1602"/>
      <c r="G95" s="1602"/>
      <c r="H95" s="1602"/>
      <c r="I95" s="1602"/>
      <c r="J95" s="1761"/>
    </row>
    <row r="96" spans="2:10">
      <c r="B96" s="1610" t="s">
        <v>1067</v>
      </c>
      <c r="C96" s="1777"/>
      <c r="D96" s="1760"/>
      <c r="E96" s="1602">
        <f>SUM(E91:E95)+E89</f>
        <v>0</v>
      </c>
      <c r="F96" s="1602">
        <f>SUM(F91:F95)+F89</f>
        <v>0</v>
      </c>
      <c r="G96" s="1602">
        <f>SUM(G91:G95)+G89</f>
        <v>0</v>
      </c>
      <c r="H96" s="1602">
        <f>SUM(H91:H95)+H89</f>
        <v>0</v>
      </c>
      <c r="I96" s="1602">
        <f>SUM(I91:I95)+I89</f>
        <v>0</v>
      </c>
      <c r="J96" s="1761"/>
    </row>
    <row r="97" spans="2:10">
      <c r="B97" s="1778"/>
      <c r="C97" s="1611"/>
      <c r="D97" s="1611"/>
      <c r="E97" s="1765"/>
      <c r="F97" s="1602"/>
      <c r="G97" s="1602"/>
      <c r="H97" s="1602"/>
      <c r="I97" s="1602"/>
      <c r="J97" s="1766"/>
    </row>
    <row r="98" spans="2:10">
      <c r="B98" s="1779" t="s">
        <v>351</v>
      </c>
      <c r="C98" s="1780"/>
      <c r="D98" s="1607"/>
      <c r="E98" s="1765"/>
      <c r="F98" s="1765"/>
      <c r="G98" s="1765"/>
      <c r="H98" s="1765"/>
      <c r="I98" s="1608">
        <v>0.10739935091898387</v>
      </c>
      <c r="J98" s="1766"/>
    </row>
    <row r="99" spans="2:10">
      <c r="B99" s="1763" t="s">
        <v>298</v>
      </c>
      <c r="C99" s="1764"/>
      <c r="D99" s="1607"/>
      <c r="E99" s="1765"/>
      <c r="F99" s="1765"/>
      <c r="G99" s="1765"/>
      <c r="H99" s="1608">
        <v>0.18101737719317576</v>
      </c>
      <c r="I99" s="1765"/>
      <c r="J99" s="1766"/>
    </row>
    <row r="100" spans="2:10">
      <c r="B100" s="1763" t="s">
        <v>1062</v>
      </c>
      <c r="C100" s="1764"/>
      <c r="D100" s="1607"/>
      <c r="E100" s="1765"/>
      <c r="F100" s="1765"/>
      <c r="G100" s="1608">
        <v>1</v>
      </c>
      <c r="H100" s="1765"/>
      <c r="I100" s="1765"/>
      <c r="J100" s="1766"/>
    </row>
    <row r="101" spans="2:10">
      <c r="B101" s="1763" t="s">
        <v>1063</v>
      </c>
      <c r="C101" s="1764"/>
      <c r="D101" s="1607"/>
      <c r="E101" s="1765"/>
      <c r="F101" s="1608">
        <v>0</v>
      </c>
      <c r="G101" s="1765"/>
      <c r="H101" s="1765"/>
      <c r="I101" s="1765"/>
      <c r="J101" s="1766"/>
    </row>
    <row r="102" spans="2:10">
      <c r="B102" s="1767" t="s">
        <v>1064</v>
      </c>
      <c r="C102" s="1764"/>
      <c r="D102" s="1607"/>
      <c r="E102" s="1765">
        <f>F102+G102+H102+I102</f>
        <v>0</v>
      </c>
      <c r="F102" s="1765">
        <f>F101*F96</f>
        <v>0</v>
      </c>
      <c r="G102" s="1765">
        <f>G96*G100</f>
        <v>0</v>
      </c>
      <c r="H102" s="1765">
        <f>H96*H99</f>
        <v>0</v>
      </c>
      <c r="I102" s="1765">
        <f>I98*I96</f>
        <v>0</v>
      </c>
      <c r="J102" s="1766"/>
    </row>
    <row r="103" spans="2:10">
      <c r="B103" s="1768"/>
      <c r="E103" s="1747"/>
      <c r="F103" s="1747"/>
      <c r="G103" s="1747"/>
      <c r="H103" s="1747"/>
      <c r="I103" s="1747"/>
      <c r="J103" s="1769"/>
    </row>
    <row r="104" spans="2:10">
      <c r="B104" s="1768"/>
      <c r="E104" s="1747"/>
      <c r="F104" s="1747"/>
      <c r="G104" s="1747"/>
      <c r="H104" s="1747"/>
      <c r="I104" s="1747"/>
      <c r="J104" s="1769"/>
    </row>
    <row r="105" spans="2:10">
      <c r="B105" s="1592" t="s">
        <v>216</v>
      </c>
      <c r="C105" s="1592"/>
      <c r="D105" s="1592"/>
      <c r="E105" s="1592" t="s">
        <v>217</v>
      </c>
      <c r="F105" s="1592" t="s">
        <v>1296</v>
      </c>
      <c r="G105" s="1592" t="s">
        <v>1580</v>
      </c>
      <c r="H105" s="1592" t="s">
        <v>1581</v>
      </c>
      <c r="I105" s="1592" t="s">
        <v>1582</v>
      </c>
      <c r="J105" s="1592" t="s">
        <v>1583</v>
      </c>
    </row>
    <row r="106" spans="2:10">
      <c r="B106" s="1748"/>
      <c r="C106" s="467"/>
      <c r="D106" s="467"/>
      <c r="E106" s="1592"/>
      <c r="F106" s="1592" t="s">
        <v>1619</v>
      </c>
      <c r="G106" s="1592" t="s">
        <v>345</v>
      </c>
      <c r="H106" s="1592"/>
      <c r="I106" s="1592"/>
      <c r="J106" s="467"/>
    </row>
    <row r="107" spans="2:10">
      <c r="B107" s="1781"/>
      <c r="C107" s="467"/>
      <c r="D107" s="467"/>
      <c r="E107" s="1592"/>
      <c r="F107" s="1592" t="s">
        <v>1620</v>
      </c>
      <c r="G107" s="1592" t="s">
        <v>275</v>
      </c>
      <c r="H107" s="1592" t="s">
        <v>346</v>
      </c>
      <c r="I107" s="1592" t="s">
        <v>347</v>
      </c>
      <c r="J107" s="467"/>
    </row>
    <row r="108" spans="2:10">
      <c r="B108" s="1748" t="s">
        <v>1629</v>
      </c>
      <c r="E108" s="1592" t="s">
        <v>59</v>
      </c>
      <c r="F108" s="1744" t="s">
        <v>1621</v>
      </c>
      <c r="G108" s="1592" t="s">
        <v>348</v>
      </c>
      <c r="H108" s="1592" t="s">
        <v>348</v>
      </c>
      <c r="I108" s="1592" t="s">
        <v>348</v>
      </c>
      <c r="J108" s="1592" t="s">
        <v>352</v>
      </c>
    </row>
    <row r="109" spans="2:10">
      <c r="B109" s="1607" t="s">
        <v>1059</v>
      </c>
      <c r="C109" s="1607"/>
      <c r="D109" s="1607"/>
      <c r="E109" s="1602">
        <f>SUM(F109:I109)</f>
        <v>312331070.99999994</v>
      </c>
      <c r="F109" s="1765">
        <f>F62</f>
        <v>275121071.41717935</v>
      </c>
      <c r="G109" s="1765">
        <f>G62</f>
        <v>0</v>
      </c>
      <c r="H109" s="1765">
        <f>H62</f>
        <v>13608424.4728</v>
      </c>
      <c r="I109" s="1765">
        <f>I62</f>
        <v>23601575.110020589</v>
      </c>
      <c r="J109" s="1766"/>
    </row>
    <row r="110" spans="2:10">
      <c r="B110" s="1607" t="s">
        <v>1065</v>
      </c>
      <c r="C110" s="1607"/>
      <c r="D110" s="1607"/>
      <c r="E110" s="1602">
        <f>SUM(F110:I110)</f>
        <v>0</v>
      </c>
      <c r="F110" s="1765">
        <f>F89</f>
        <v>0</v>
      </c>
      <c r="G110" s="1765">
        <f>G89</f>
        <v>0</v>
      </c>
      <c r="H110" s="1765">
        <f>H89</f>
        <v>0</v>
      </c>
      <c r="I110" s="1765">
        <f>I89</f>
        <v>0</v>
      </c>
      <c r="J110" s="1766"/>
    </row>
    <row r="111" spans="2:10">
      <c r="B111" s="1612" t="s">
        <v>1068</v>
      </c>
      <c r="C111" s="1607"/>
      <c r="D111" s="1607"/>
      <c r="E111" s="1765">
        <f>E109+E110</f>
        <v>312331070.99999994</v>
      </c>
      <c r="F111" s="1765">
        <f>F109+F110</f>
        <v>275121071.41717935</v>
      </c>
      <c r="G111" s="1765">
        <f>G109+G110</f>
        <v>0</v>
      </c>
      <c r="H111" s="1765">
        <f>H109+H110</f>
        <v>13608424.4728</v>
      </c>
      <c r="I111" s="1765">
        <f>I109+I110</f>
        <v>23601575.110020589</v>
      </c>
      <c r="J111" s="1766"/>
    </row>
    <row r="112" spans="2:10">
      <c r="B112" s="1768"/>
      <c r="E112" s="1747"/>
      <c r="F112" s="1747"/>
      <c r="G112" s="1747"/>
      <c r="H112" s="1747"/>
      <c r="I112" s="1747"/>
      <c r="J112" s="1769"/>
    </row>
    <row r="113" spans="2:11">
      <c r="B113" s="1768"/>
      <c r="E113" s="1747"/>
      <c r="F113" s="1747"/>
      <c r="G113" s="1747"/>
      <c r="H113" s="1747"/>
      <c r="I113" s="1747"/>
      <c r="J113" s="1769"/>
    </row>
    <row r="114" spans="2:11" s="467" customFormat="1" ht="12.75" customHeight="1">
      <c r="B114" s="1782" t="s">
        <v>364</v>
      </c>
      <c r="C114" s="1782"/>
      <c r="E114" s="1783"/>
      <c r="G114" s="1783"/>
      <c r="H114" s="1784"/>
      <c r="I114" s="1785"/>
      <c r="J114" s="1786"/>
    </row>
    <row r="115" spans="2:11" s="467" customFormat="1" ht="15.75" customHeight="1">
      <c r="B115" s="1876" t="s">
        <v>1630</v>
      </c>
      <c r="C115" s="1876"/>
      <c r="D115" s="1876"/>
      <c r="E115" s="1876"/>
      <c r="F115" s="1876"/>
      <c r="G115" s="1876"/>
      <c r="H115" s="1876"/>
      <c r="I115" s="1876"/>
      <c r="J115" s="1787"/>
    </row>
    <row r="116" spans="2:11" s="467" customFormat="1">
      <c r="B116" s="1788" t="s">
        <v>365</v>
      </c>
      <c r="C116" s="1788"/>
      <c r="H116" s="1785"/>
      <c r="I116" s="1785"/>
      <c r="J116" s="1786"/>
    </row>
    <row r="117" spans="2:11" s="467" customFormat="1">
      <c r="B117" s="1788" t="s">
        <v>366</v>
      </c>
      <c r="C117" s="1788"/>
      <c r="H117" s="1785"/>
      <c r="I117" s="1785"/>
      <c r="J117" s="1787"/>
    </row>
    <row r="118" spans="2:11" s="467" customFormat="1">
      <c r="B118" s="1788" t="s">
        <v>367</v>
      </c>
      <c r="C118" s="1788"/>
      <c r="H118" s="1785"/>
      <c r="I118" s="1785"/>
      <c r="J118" s="1786"/>
    </row>
    <row r="119" spans="2:11" s="467" customFormat="1" ht="15.75" customHeight="1">
      <c r="B119" s="1876" t="s">
        <v>1069</v>
      </c>
      <c r="C119" s="1876"/>
      <c r="D119" s="1876"/>
      <c r="E119" s="1876"/>
      <c r="F119" s="1876"/>
      <c r="G119" s="1876"/>
      <c r="H119" s="1876"/>
      <c r="I119" s="1876"/>
      <c r="K119" s="1789"/>
    </row>
    <row r="120" spans="2:11" s="467" customFormat="1" ht="15.75" customHeight="1">
      <c r="B120" s="1876"/>
      <c r="C120" s="1876"/>
      <c r="D120" s="1876"/>
      <c r="E120" s="1876"/>
      <c r="F120" s="1876"/>
      <c r="G120" s="1876"/>
      <c r="H120" s="1876"/>
      <c r="I120" s="1876"/>
      <c r="K120" s="1789"/>
    </row>
    <row r="121" spans="2:11" s="467" customFormat="1">
      <c r="B121" s="1788" t="s">
        <v>1070</v>
      </c>
      <c r="C121" s="1788"/>
      <c r="H121" s="1785"/>
      <c r="I121" s="1785"/>
      <c r="J121" s="1786"/>
    </row>
    <row r="122" spans="2:11">
      <c r="C122" s="1768"/>
      <c r="E122" s="1749"/>
      <c r="F122" s="1749"/>
      <c r="H122" s="1790"/>
      <c r="I122" s="1791"/>
      <c r="J122" s="1769"/>
    </row>
    <row r="123" spans="2:11">
      <c r="B123" s="1768"/>
      <c r="C123" s="1792"/>
      <c r="E123" s="1747">
        <f>-32899228.97-G131</f>
        <v>-32899228.969999999</v>
      </c>
      <c r="F123" s="1752">
        <f>-44605777.21-G132</f>
        <v>-44262109.210000001</v>
      </c>
    </row>
    <row r="124" spans="2:11">
      <c r="B124" s="1592" t="s">
        <v>216</v>
      </c>
      <c r="C124" s="1592"/>
      <c r="D124" s="1592"/>
      <c r="E124" s="1592" t="s">
        <v>217</v>
      </c>
      <c r="F124" s="1592" t="s">
        <v>1296</v>
      </c>
      <c r="G124" s="1592" t="s">
        <v>1580</v>
      </c>
      <c r="H124" s="1592" t="s">
        <v>1581</v>
      </c>
      <c r="I124" s="1592" t="s">
        <v>1582</v>
      </c>
      <c r="J124" s="1592" t="s">
        <v>1583</v>
      </c>
    </row>
    <row r="125" spans="2:11">
      <c r="B125" s="1748"/>
      <c r="C125" s="467"/>
      <c r="D125" s="467"/>
      <c r="E125" s="1592"/>
      <c r="F125" s="1592" t="s">
        <v>1619</v>
      </c>
      <c r="G125" s="1592" t="s">
        <v>345</v>
      </c>
      <c r="H125" s="1592"/>
      <c r="I125" s="1592"/>
      <c r="J125" s="467"/>
    </row>
    <row r="126" spans="2:11">
      <c r="B126" s="1748"/>
      <c r="C126" s="1754"/>
      <c r="D126" s="467"/>
      <c r="E126" s="1592"/>
      <c r="F126" s="1592" t="s">
        <v>1620</v>
      </c>
      <c r="G126" s="1592" t="s">
        <v>275</v>
      </c>
      <c r="H126" s="1592" t="s">
        <v>346</v>
      </c>
      <c r="I126" s="1592" t="s">
        <v>347</v>
      </c>
      <c r="J126" s="467"/>
    </row>
    <row r="127" spans="2:11">
      <c r="B127" s="1748" t="s">
        <v>1071</v>
      </c>
      <c r="C127" s="467"/>
      <c r="D127" s="467"/>
      <c r="E127" s="1592" t="s">
        <v>59</v>
      </c>
      <c r="F127" s="1744" t="s">
        <v>1621</v>
      </c>
      <c r="G127" s="1592" t="s">
        <v>348</v>
      </c>
      <c r="H127" s="1592" t="s">
        <v>348</v>
      </c>
      <c r="I127" s="1592" t="s">
        <v>348</v>
      </c>
      <c r="J127" s="1592" t="s">
        <v>352</v>
      </c>
    </row>
    <row r="128" spans="2:11">
      <c r="B128" s="1755" t="s">
        <v>1915</v>
      </c>
      <c r="C128" s="1756"/>
      <c r="D128" s="1812"/>
      <c r="E128" s="1758">
        <f t="shared" ref="E128:E132" si="2">SUM(F128:I128)</f>
        <v>-698448365.06178999</v>
      </c>
      <c r="F128" s="1758">
        <v>7741034.1142999995</v>
      </c>
      <c r="G128" s="1758">
        <v>0</v>
      </c>
      <c r="H128" s="1758">
        <v>-706189399.17609</v>
      </c>
      <c r="I128" s="1758">
        <v>0</v>
      </c>
      <c r="J128" s="1813" t="s">
        <v>1940</v>
      </c>
    </row>
    <row r="129" spans="2:10">
      <c r="B129" s="1755" t="s">
        <v>1916</v>
      </c>
      <c r="C129" s="1756"/>
      <c r="D129" s="1814"/>
      <c r="E129" s="1758">
        <f t="shared" si="2"/>
        <v>51372661.085271992</v>
      </c>
      <c r="F129" s="1758">
        <v>51372661.085271992</v>
      </c>
      <c r="G129" s="1758">
        <v>0</v>
      </c>
      <c r="H129" s="1758">
        <v>0</v>
      </c>
      <c r="I129" s="1758">
        <v>0</v>
      </c>
      <c r="J129" s="1813" t="s">
        <v>1941</v>
      </c>
    </row>
    <row r="130" spans="2:10" ht="38.25">
      <c r="B130" s="1755" t="s">
        <v>1917</v>
      </c>
      <c r="C130" s="1756"/>
      <c r="D130" s="1814"/>
      <c r="E130" s="1758">
        <f t="shared" si="2"/>
        <v>-39002944.351435699</v>
      </c>
      <c r="F130" s="1758">
        <v>-31712115.351435699</v>
      </c>
      <c r="G130" s="1758">
        <v>-7290829</v>
      </c>
      <c r="H130" s="1758">
        <v>0</v>
      </c>
      <c r="I130" s="1758">
        <v>0</v>
      </c>
      <c r="J130" s="1813" t="s">
        <v>1942</v>
      </c>
    </row>
    <row r="131" spans="2:10" ht="25.5">
      <c r="B131" s="1755" t="s">
        <v>1918</v>
      </c>
      <c r="C131" s="1756"/>
      <c r="D131" s="1814"/>
      <c r="E131" s="1758">
        <f t="shared" si="2"/>
        <v>44852659.34166</v>
      </c>
      <c r="F131" s="1758">
        <v>44852659.34166</v>
      </c>
      <c r="G131" s="1758">
        <v>0</v>
      </c>
      <c r="H131" s="1758">
        <v>0</v>
      </c>
      <c r="I131" s="1758">
        <v>0</v>
      </c>
      <c r="J131" s="1813" t="s">
        <v>1943</v>
      </c>
    </row>
    <row r="132" spans="2:10" ht="25.5">
      <c r="B132" s="1755" t="s">
        <v>1919</v>
      </c>
      <c r="C132" s="1756"/>
      <c r="D132" s="1814"/>
      <c r="E132" s="1758">
        <f t="shared" si="2"/>
        <v>-58553876.013703696</v>
      </c>
      <c r="F132" s="1758">
        <v>-58210208.013703696</v>
      </c>
      <c r="G132" s="1758">
        <v>-343668</v>
      </c>
      <c r="H132" s="1758">
        <v>0</v>
      </c>
      <c r="I132" s="1758">
        <v>0</v>
      </c>
      <c r="J132" s="1813" t="s">
        <v>1944</v>
      </c>
    </row>
    <row r="133" spans="2:10">
      <c r="B133" s="1603" t="s">
        <v>1072</v>
      </c>
      <c r="C133" s="1760"/>
      <c r="D133" s="1760"/>
      <c r="E133" s="1602">
        <f>SUM(E128:E132)</f>
        <v>-699779864.99999738</v>
      </c>
      <c r="F133" s="1602">
        <f>SUM(F128:F132)</f>
        <v>14044031.176092602</v>
      </c>
      <c r="G133" s="1602">
        <f>SUM(G128:G132)</f>
        <v>-7634497</v>
      </c>
      <c r="H133" s="1602">
        <f>SUM(H128:H132)</f>
        <v>-706189399.17609</v>
      </c>
      <c r="I133" s="1602">
        <f>SUM(I128:I132)</f>
        <v>0</v>
      </c>
      <c r="J133" s="1761"/>
    </row>
    <row r="134" spans="2:10">
      <c r="B134" s="1603"/>
      <c r="C134" s="1760"/>
      <c r="D134" s="1760"/>
      <c r="E134" s="1602"/>
      <c r="F134" s="1602"/>
      <c r="G134" s="1602"/>
      <c r="H134" s="1602"/>
      <c r="I134" s="1602"/>
      <c r="J134" s="1761"/>
    </row>
    <row r="135" spans="2:10">
      <c r="B135" s="1799" t="s">
        <v>1626</v>
      </c>
      <c r="C135" s="1775"/>
      <c r="D135" s="1776"/>
      <c r="E135" s="1599">
        <f>SUM(F135:I135)</f>
        <v>58553876.013703696</v>
      </c>
      <c r="F135" s="1599">
        <f>-F132</f>
        <v>58210208.013703696</v>
      </c>
      <c r="G135" s="1599">
        <f>-G132</f>
        <v>343668</v>
      </c>
      <c r="H135" s="1599">
        <f>-H132</f>
        <v>0</v>
      </c>
      <c r="I135" s="1599">
        <f>-I132</f>
        <v>0</v>
      </c>
      <c r="J135" s="1606"/>
    </row>
    <row r="136" spans="2:10">
      <c r="B136" s="1799" t="s">
        <v>1945</v>
      </c>
      <c r="C136" s="1762"/>
      <c r="D136" s="1776"/>
      <c r="E136" s="1599">
        <f t="shared" ref="E136:E138" si="3">SUM(F136:I136)</f>
        <v>39002944.351435699</v>
      </c>
      <c r="F136" s="1599">
        <f>-F130</f>
        <v>31712115.351435699</v>
      </c>
      <c r="G136" s="1599">
        <f>-G130</f>
        <v>7290829</v>
      </c>
      <c r="H136" s="1599">
        <f>-H131</f>
        <v>0</v>
      </c>
      <c r="I136" s="1599">
        <f>-I131</f>
        <v>0</v>
      </c>
      <c r="J136" s="1606"/>
    </row>
    <row r="137" spans="2:10">
      <c r="B137" s="1799" t="s">
        <v>1628</v>
      </c>
      <c r="C137" s="1762"/>
      <c r="D137" s="1776"/>
      <c r="E137" s="1599">
        <f t="shared" si="3"/>
        <v>0</v>
      </c>
      <c r="F137" s="1599"/>
      <c r="G137" s="1599"/>
      <c r="H137" s="1599"/>
      <c r="I137" s="1599"/>
      <c r="J137" s="1606"/>
    </row>
    <row r="138" spans="2:10">
      <c r="B138" s="1604" t="s">
        <v>1138</v>
      </c>
      <c r="C138" s="1762"/>
      <c r="D138" s="1776"/>
      <c r="E138" s="1599">
        <f t="shared" si="3"/>
        <v>0</v>
      </c>
      <c r="F138" s="1599"/>
      <c r="G138" s="1599"/>
      <c r="H138" s="1599"/>
      <c r="I138" s="1599"/>
      <c r="J138" s="1606"/>
    </row>
    <row r="139" spans="2:10" ht="5.0999999999999996" customHeight="1">
      <c r="B139" s="1601"/>
      <c r="C139" s="1759"/>
      <c r="D139" s="1760"/>
      <c r="E139" s="1602"/>
      <c r="F139" s="1602"/>
      <c r="G139" s="1602"/>
      <c r="H139" s="1602"/>
      <c r="I139" s="1602"/>
      <c r="J139" s="1761"/>
    </row>
    <row r="140" spans="2:10">
      <c r="B140" s="1610" t="s">
        <v>1073</v>
      </c>
      <c r="C140" s="1777"/>
      <c r="D140" s="1760"/>
      <c r="E140" s="1602">
        <f>SUM(E135:E138)+E133</f>
        <v>-602223044.63485801</v>
      </c>
      <c r="F140" s="1602">
        <f>SUM(F135:F138)+F133</f>
        <v>103966354.54123199</v>
      </c>
      <c r="G140" s="1602">
        <f>SUM(G135:G138)+G133</f>
        <v>0</v>
      </c>
      <c r="H140" s="1602">
        <f>SUM(H135:H138)+H133</f>
        <v>-706189399.17609</v>
      </c>
      <c r="I140" s="1602">
        <f>SUM(I135:I138)+I133</f>
        <v>0</v>
      </c>
      <c r="J140" s="1761"/>
    </row>
    <row r="141" spans="2:10">
      <c r="B141" s="1778"/>
      <c r="C141" s="1611"/>
      <c r="D141" s="1611"/>
      <c r="E141" s="1765"/>
      <c r="F141" s="1602"/>
      <c r="G141" s="1602"/>
      <c r="H141" s="1602"/>
      <c r="I141" s="1602"/>
      <c r="J141" s="1766"/>
    </row>
    <row r="142" spans="2:10">
      <c r="B142" s="1779" t="s">
        <v>351</v>
      </c>
      <c r="C142" s="1780"/>
      <c r="D142" s="1607"/>
      <c r="E142" s="1765"/>
      <c r="F142" s="1765"/>
      <c r="G142" s="1765"/>
      <c r="H142" s="1765"/>
      <c r="I142" s="1608">
        <v>0.10739935091898387</v>
      </c>
      <c r="J142" s="1766"/>
    </row>
    <row r="143" spans="2:10">
      <c r="B143" s="1763" t="s">
        <v>298</v>
      </c>
      <c r="C143" s="1764"/>
      <c r="D143" s="1607"/>
      <c r="E143" s="1765"/>
      <c r="F143" s="1765"/>
      <c r="G143" s="1765"/>
      <c r="H143" s="1608">
        <v>0.18101737719317576</v>
      </c>
      <c r="I143" s="1765"/>
      <c r="J143" s="1766"/>
    </row>
    <row r="144" spans="2:10">
      <c r="B144" s="1763" t="s">
        <v>1062</v>
      </c>
      <c r="C144" s="1764"/>
      <c r="D144" s="1607"/>
      <c r="E144" s="1765"/>
      <c r="F144" s="1765"/>
      <c r="G144" s="1608">
        <v>1</v>
      </c>
      <c r="H144" s="1765"/>
      <c r="I144" s="1765"/>
      <c r="J144" s="1766"/>
    </row>
    <row r="145" spans="2:10">
      <c r="B145" s="1763" t="s">
        <v>1063</v>
      </c>
      <c r="C145" s="1764"/>
      <c r="D145" s="1607"/>
      <c r="E145" s="1765"/>
      <c r="F145" s="1608">
        <v>0</v>
      </c>
      <c r="G145" s="1765"/>
      <c r="H145" s="1765"/>
      <c r="I145" s="1765"/>
      <c r="J145" s="1766"/>
    </row>
    <row r="146" spans="2:10">
      <c r="B146" s="1767" t="s">
        <v>1064</v>
      </c>
      <c r="C146" s="1764"/>
      <c r="D146" s="1607"/>
      <c r="E146" s="1765">
        <f>F146+G146+H146+I146</f>
        <v>-127832552.84048045</v>
      </c>
      <c r="F146" s="1765">
        <f>F145*F140</f>
        <v>0</v>
      </c>
      <c r="G146" s="1765">
        <f>G140*G144</f>
        <v>0</v>
      </c>
      <c r="H146" s="1765">
        <f>H140*H143</f>
        <v>-127832552.84048045</v>
      </c>
      <c r="I146" s="1765">
        <f>I142*I140</f>
        <v>0</v>
      </c>
      <c r="J146" s="1766"/>
    </row>
    <row r="147" spans="2:10" ht="17.25" customHeight="1">
      <c r="B147" s="1754"/>
      <c r="C147" s="1754"/>
      <c r="E147" s="1747"/>
      <c r="F147" s="1747"/>
      <c r="G147" s="1747"/>
      <c r="H147" s="1747"/>
      <c r="I147" s="1747"/>
      <c r="J147" s="1769"/>
    </row>
    <row r="148" spans="2:10">
      <c r="B148" s="1768"/>
      <c r="E148" s="1747"/>
      <c r="F148" s="1747"/>
      <c r="G148" s="1747"/>
      <c r="H148" s="1747"/>
      <c r="I148" s="1747"/>
      <c r="J148" s="1769"/>
    </row>
    <row r="149" spans="2:10">
      <c r="B149" s="1592" t="s">
        <v>216</v>
      </c>
      <c r="C149" s="1592"/>
      <c r="D149" s="1592"/>
      <c r="E149" s="1592" t="s">
        <v>217</v>
      </c>
      <c r="F149" s="1592" t="s">
        <v>1296</v>
      </c>
      <c r="G149" s="1592" t="s">
        <v>1580</v>
      </c>
      <c r="H149" s="1592" t="s">
        <v>1581</v>
      </c>
      <c r="I149" s="1592" t="s">
        <v>1582</v>
      </c>
      <c r="J149" s="1592" t="s">
        <v>1583</v>
      </c>
    </row>
    <row r="150" spans="2:10">
      <c r="B150" s="1748"/>
      <c r="C150" s="467"/>
      <c r="D150" s="467"/>
      <c r="E150" s="1592"/>
      <c r="F150" s="1592" t="s">
        <v>1619</v>
      </c>
      <c r="G150" s="1592" t="s">
        <v>345</v>
      </c>
      <c r="H150" s="1592"/>
      <c r="I150" s="1592"/>
      <c r="J150" s="467"/>
    </row>
    <row r="151" spans="2:10">
      <c r="B151" s="1748"/>
      <c r="C151" s="467"/>
      <c r="D151" s="467"/>
      <c r="E151" s="1592"/>
      <c r="F151" s="1592" t="s">
        <v>1620</v>
      </c>
      <c r="G151" s="1592" t="s">
        <v>275</v>
      </c>
      <c r="H151" s="1592" t="s">
        <v>346</v>
      </c>
      <c r="I151" s="1592" t="s">
        <v>347</v>
      </c>
      <c r="J151" s="467"/>
    </row>
    <row r="152" spans="2:10">
      <c r="B152" s="1748" t="s">
        <v>1074</v>
      </c>
      <c r="C152" s="467"/>
      <c r="D152" s="467"/>
      <c r="E152" s="1592" t="s">
        <v>59</v>
      </c>
      <c r="F152" s="1744" t="s">
        <v>1621</v>
      </c>
      <c r="G152" s="1592" t="s">
        <v>348</v>
      </c>
      <c r="H152" s="1592" t="s">
        <v>348</v>
      </c>
      <c r="I152" s="1592" t="s">
        <v>348</v>
      </c>
      <c r="J152" s="1592" t="s">
        <v>352</v>
      </c>
    </row>
    <row r="153" spans="2:10">
      <c r="B153" s="1800" t="s">
        <v>1928</v>
      </c>
      <c r="C153" s="1770"/>
      <c r="D153" s="1772"/>
      <c r="E153" s="1599">
        <f>SUM(F153:I153)</f>
        <v>-505595086</v>
      </c>
      <c r="F153" s="1599"/>
      <c r="G153" s="1599"/>
      <c r="H153" s="1599">
        <v>-505595086</v>
      </c>
      <c r="I153" s="1599"/>
      <c r="J153" s="1813" t="s">
        <v>1940</v>
      </c>
    </row>
    <row r="154" spans="2:10">
      <c r="B154" s="1800"/>
      <c r="C154" s="1770"/>
      <c r="D154" s="1772"/>
      <c r="E154" s="1599"/>
      <c r="F154" s="1599"/>
      <c r="G154" s="1599"/>
      <c r="H154" s="1599"/>
      <c r="I154" s="1599"/>
      <c r="J154" s="1600"/>
    </row>
    <row r="155" spans="2:10">
      <c r="B155" s="1800"/>
      <c r="C155" s="1770"/>
      <c r="D155" s="1772"/>
      <c r="E155" s="1599"/>
      <c r="F155" s="1599"/>
      <c r="G155" s="1599"/>
      <c r="H155" s="1599"/>
      <c r="I155" s="1599"/>
      <c r="J155" s="1600"/>
    </row>
    <row r="156" spans="2:10">
      <c r="B156" s="1800"/>
      <c r="C156" s="1770"/>
      <c r="D156" s="1772"/>
      <c r="E156" s="1599"/>
      <c r="F156" s="1599"/>
      <c r="G156" s="1599"/>
      <c r="H156" s="1599"/>
      <c r="I156" s="1599"/>
      <c r="J156" s="1600"/>
    </row>
    <row r="157" spans="2:10">
      <c r="B157" s="1800"/>
      <c r="C157" s="1770"/>
      <c r="D157" s="1772"/>
      <c r="E157" s="1599"/>
      <c r="F157" s="1599"/>
      <c r="G157" s="1599"/>
      <c r="H157" s="1599"/>
      <c r="I157" s="1599"/>
      <c r="J157" s="1600"/>
    </row>
    <row r="158" spans="2:10">
      <c r="B158" s="1800"/>
      <c r="C158" s="1770"/>
      <c r="D158" s="1772"/>
      <c r="E158" s="1599"/>
      <c r="F158" s="1599"/>
      <c r="G158" s="1599"/>
      <c r="H158" s="1599"/>
      <c r="I158" s="1599"/>
      <c r="J158" s="1600"/>
    </row>
    <row r="159" spans="2:10">
      <c r="B159" s="1800"/>
      <c r="C159" s="1770"/>
      <c r="D159" s="1771"/>
      <c r="E159" s="1773"/>
      <c r="F159" s="1773"/>
      <c r="G159" s="1773"/>
      <c r="H159" s="1773"/>
      <c r="I159" s="1773"/>
      <c r="J159" s="1774"/>
    </row>
    <row r="160" spans="2:10">
      <c r="B160" s="1603" t="s">
        <v>1075</v>
      </c>
      <c r="C160" s="1760"/>
      <c r="D160" s="1760"/>
      <c r="E160" s="1602">
        <f>SUM(E153:E159)</f>
        <v>-505595086</v>
      </c>
      <c r="F160" s="1602">
        <f>SUM(F153:F159)</f>
        <v>0</v>
      </c>
      <c r="G160" s="1602">
        <f>SUM(G153:G159)</f>
        <v>0</v>
      </c>
      <c r="H160" s="1602">
        <f>SUM(H153:H159)</f>
        <v>-505595086</v>
      </c>
      <c r="I160" s="1602">
        <f>SUM(I153:I159)</f>
        <v>0</v>
      </c>
      <c r="J160" s="1761"/>
    </row>
    <row r="161" spans="2:10">
      <c r="B161" s="1603"/>
      <c r="C161" s="1760"/>
      <c r="D161" s="1760"/>
      <c r="E161" s="1602"/>
      <c r="F161" s="1602"/>
      <c r="G161" s="1602"/>
      <c r="H161" s="1602"/>
      <c r="I161" s="1602"/>
      <c r="J161" s="1761"/>
    </row>
    <row r="162" spans="2:10">
      <c r="B162" s="1609" t="s">
        <v>1626</v>
      </c>
      <c r="C162" s="1775"/>
      <c r="D162" s="1776"/>
      <c r="E162" s="1599">
        <f t="shared" ref="E162:E165" si="4">SUM(F162:I162)</f>
        <v>0</v>
      </c>
      <c r="F162" s="1599"/>
      <c r="G162" s="1599"/>
      <c r="H162" s="1599"/>
      <c r="I162" s="1599"/>
      <c r="J162" s="1606"/>
    </row>
    <row r="163" spans="2:10">
      <c r="B163" s="1604" t="s">
        <v>1627</v>
      </c>
      <c r="C163" s="1762"/>
      <c r="D163" s="1776"/>
      <c r="E163" s="1599">
        <f t="shared" si="4"/>
        <v>0</v>
      </c>
      <c r="F163" s="1599"/>
      <c r="G163" s="1599"/>
      <c r="H163" s="1599"/>
      <c r="I163" s="1599"/>
      <c r="J163" s="1606"/>
    </row>
    <row r="164" spans="2:10">
      <c r="B164" s="1604" t="s">
        <v>1628</v>
      </c>
      <c r="C164" s="1762"/>
      <c r="D164" s="1776"/>
      <c r="E164" s="1599">
        <f t="shared" si="4"/>
        <v>0</v>
      </c>
      <c r="F164" s="1599"/>
      <c r="G164" s="1599"/>
      <c r="H164" s="1599"/>
      <c r="I164" s="1599"/>
      <c r="J164" s="1606"/>
    </row>
    <row r="165" spans="2:10">
      <c r="B165" s="1604" t="s">
        <v>1138</v>
      </c>
      <c r="C165" s="1762"/>
      <c r="D165" s="1776"/>
      <c r="E165" s="1599">
        <f t="shared" si="4"/>
        <v>0</v>
      </c>
      <c r="F165" s="1599"/>
      <c r="G165" s="1599"/>
      <c r="H165" s="1599"/>
      <c r="I165" s="1599"/>
      <c r="J165" s="1606"/>
    </row>
    <row r="166" spans="2:10" ht="5.0999999999999996" customHeight="1">
      <c r="B166" s="1601"/>
      <c r="C166" s="1759"/>
      <c r="D166" s="1760"/>
      <c r="E166" s="1602"/>
      <c r="F166" s="1602"/>
      <c r="G166" s="1602"/>
      <c r="H166" s="1602"/>
      <c r="I166" s="1602"/>
      <c r="J166" s="1761"/>
    </row>
    <row r="167" spans="2:10">
      <c r="B167" s="1610" t="s">
        <v>1073</v>
      </c>
      <c r="C167" s="1777"/>
      <c r="D167" s="1760"/>
      <c r="E167" s="1602">
        <f>SUM(E162:E165)+E160</f>
        <v>-505595086</v>
      </c>
      <c r="F167" s="1602">
        <f>SUM(F162:F165)+F160</f>
        <v>0</v>
      </c>
      <c r="G167" s="1602">
        <f>SUM(G162:G165)+G160</f>
        <v>0</v>
      </c>
      <c r="H167" s="1602">
        <f>SUM(H162:H165)+H160</f>
        <v>-505595086</v>
      </c>
      <c r="I167" s="1602">
        <f>SUM(I162:I165)+I160</f>
        <v>0</v>
      </c>
      <c r="J167" s="1761"/>
    </row>
    <row r="168" spans="2:10">
      <c r="B168" s="1778"/>
      <c r="C168" s="1611"/>
      <c r="D168" s="1611"/>
      <c r="E168" s="1765"/>
      <c r="F168" s="1602"/>
      <c r="G168" s="1602"/>
      <c r="H168" s="1602"/>
      <c r="I168" s="1602"/>
      <c r="J168" s="1766"/>
    </row>
    <row r="169" spans="2:10">
      <c r="B169" s="1779" t="s">
        <v>351</v>
      </c>
      <c r="C169" s="1780"/>
      <c r="D169" s="1607"/>
      <c r="E169" s="1765"/>
      <c r="F169" s="1765"/>
      <c r="G169" s="1765"/>
      <c r="H169" s="1765"/>
      <c r="I169" s="1608">
        <v>0.10739935091898387</v>
      </c>
      <c r="J169" s="1766"/>
    </row>
    <row r="170" spans="2:10">
      <c r="B170" s="1763" t="s">
        <v>298</v>
      </c>
      <c r="C170" s="1764"/>
      <c r="D170" s="1607"/>
      <c r="E170" s="1765"/>
      <c r="F170" s="1765"/>
      <c r="G170" s="1765"/>
      <c r="H170" s="1608">
        <v>0.18101737719317576</v>
      </c>
      <c r="I170" s="1765"/>
      <c r="J170" s="1766"/>
    </row>
    <row r="171" spans="2:10">
      <c r="B171" s="1763" t="s">
        <v>1062</v>
      </c>
      <c r="C171" s="1764"/>
      <c r="D171" s="1607"/>
      <c r="E171" s="1765"/>
      <c r="F171" s="1765"/>
      <c r="G171" s="1608">
        <v>1</v>
      </c>
      <c r="H171" s="1765"/>
      <c r="I171" s="1765"/>
      <c r="J171" s="1766"/>
    </row>
    <row r="172" spans="2:10">
      <c r="B172" s="1763" t="s">
        <v>1063</v>
      </c>
      <c r="C172" s="1764"/>
      <c r="D172" s="1607"/>
      <c r="E172" s="1765"/>
      <c r="F172" s="1608">
        <v>0</v>
      </c>
      <c r="G172" s="1765"/>
      <c r="H172" s="1765"/>
      <c r="I172" s="1765"/>
      <c r="J172" s="1766"/>
    </row>
    <row r="173" spans="2:10">
      <c r="B173" s="1767" t="s">
        <v>1064</v>
      </c>
      <c r="C173" s="1764"/>
      <c r="D173" s="1607"/>
      <c r="E173" s="1765">
        <f>F173+G173+H173+I173</f>
        <v>-91521496.389478132</v>
      </c>
      <c r="F173" s="1765">
        <f>F172*F167</f>
        <v>0</v>
      </c>
      <c r="G173" s="1765">
        <f>G167*G171</f>
        <v>0</v>
      </c>
      <c r="H173" s="1765">
        <f>H167*H170</f>
        <v>-91521496.389478132</v>
      </c>
      <c r="I173" s="1765">
        <f>I169*I167</f>
        <v>0</v>
      </c>
      <c r="J173" s="1766"/>
    </row>
    <row r="174" spans="2:10">
      <c r="B174" s="1768"/>
      <c r="E174" s="1747"/>
      <c r="F174" s="1747"/>
      <c r="G174" s="1747"/>
      <c r="H174" s="1747"/>
      <c r="I174" s="1747">
        <f>H174/H170</f>
        <v>0</v>
      </c>
      <c r="J174" s="1769"/>
    </row>
    <row r="175" spans="2:10">
      <c r="B175" s="1768"/>
      <c r="E175" s="1747"/>
      <c r="F175" s="1747"/>
      <c r="G175" s="1747"/>
      <c r="H175" s="1747"/>
      <c r="I175" s="1747"/>
      <c r="J175" s="1769"/>
    </row>
    <row r="176" spans="2:10">
      <c r="B176" s="1592" t="s">
        <v>216</v>
      </c>
      <c r="C176" s="1592"/>
      <c r="D176" s="1592"/>
      <c r="E176" s="1592" t="s">
        <v>217</v>
      </c>
      <c r="F176" s="1592" t="s">
        <v>1296</v>
      </c>
      <c r="G176" s="1592" t="s">
        <v>1580</v>
      </c>
      <c r="H176" s="1592" t="s">
        <v>1581</v>
      </c>
      <c r="I176" s="1592" t="s">
        <v>1582</v>
      </c>
      <c r="J176" s="1592" t="s">
        <v>1583</v>
      </c>
    </row>
    <row r="177" spans="2:11">
      <c r="B177" s="1748"/>
      <c r="C177" s="467"/>
      <c r="D177" s="467"/>
      <c r="E177" s="1592"/>
      <c r="F177" s="1592" t="s">
        <v>1619</v>
      </c>
      <c r="G177" s="1592" t="s">
        <v>345</v>
      </c>
      <c r="H177" s="1592"/>
      <c r="I177" s="1592"/>
      <c r="J177" s="467"/>
    </row>
    <row r="178" spans="2:11">
      <c r="B178" s="1748"/>
      <c r="C178" s="467"/>
      <c r="D178" s="467"/>
      <c r="E178" s="1592"/>
      <c r="F178" s="1592" t="s">
        <v>1620</v>
      </c>
      <c r="G178" s="1592" t="s">
        <v>275</v>
      </c>
      <c r="H178" s="1592" t="s">
        <v>346</v>
      </c>
      <c r="I178" s="1592" t="s">
        <v>347</v>
      </c>
      <c r="J178" s="467"/>
    </row>
    <row r="179" spans="2:11">
      <c r="B179" s="1748" t="s">
        <v>1076</v>
      </c>
      <c r="C179" s="467"/>
      <c r="D179" s="467"/>
      <c r="E179" s="1592" t="s">
        <v>59</v>
      </c>
      <c r="F179" s="1744" t="s">
        <v>1621</v>
      </c>
      <c r="G179" s="1592" t="s">
        <v>348</v>
      </c>
      <c r="H179" s="1592" t="s">
        <v>348</v>
      </c>
      <c r="I179" s="1592" t="s">
        <v>348</v>
      </c>
      <c r="J179" s="1592" t="s">
        <v>352</v>
      </c>
    </row>
    <row r="180" spans="2:11">
      <c r="B180" s="1607" t="s">
        <v>1077</v>
      </c>
      <c r="C180" s="1607"/>
      <c r="D180" s="1607"/>
      <c r="E180" s="1602">
        <f>SUM(F180:I180)</f>
        <v>-699779864.99999738</v>
      </c>
      <c r="F180" s="1765">
        <f>F133</f>
        <v>14044031.176092602</v>
      </c>
      <c r="G180" s="1765">
        <f>G133</f>
        <v>-7634497</v>
      </c>
      <c r="H180" s="1765">
        <f>H133</f>
        <v>-706189399.17609</v>
      </c>
      <c r="I180" s="1765">
        <f>I133</f>
        <v>0</v>
      </c>
      <c r="J180" s="1766"/>
    </row>
    <row r="181" spans="2:11">
      <c r="B181" s="1607" t="s">
        <v>1074</v>
      </c>
      <c r="C181" s="1607"/>
      <c r="D181" s="1607"/>
      <c r="E181" s="1602">
        <f>SUM(F181:I181)</f>
        <v>-505595086</v>
      </c>
      <c r="F181" s="1765">
        <f>F160</f>
        <v>0</v>
      </c>
      <c r="G181" s="1765">
        <f>G160</f>
        <v>0</v>
      </c>
      <c r="H181" s="1765">
        <f>H160</f>
        <v>-505595086</v>
      </c>
      <c r="I181" s="1765">
        <f>I160</f>
        <v>0</v>
      </c>
      <c r="J181" s="1766"/>
    </row>
    <row r="182" spans="2:11">
      <c r="B182" s="1603" t="s">
        <v>2009</v>
      </c>
      <c r="C182" s="1607"/>
      <c r="D182" s="1607"/>
      <c r="E182" s="1765">
        <f>E180+E181</f>
        <v>-1205374950.9999974</v>
      </c>
      <c r="F182" s="1765">
        <f>F180+F181</f>
        <v>14044031.176092602</v>
      </c>
      <c r="G182" s="1765">
        <f>G180+G181</f>
        <v>-7634497</v>
      </c>
      <c r="H182" s="1765">
        <f>H180+H181</f>
        <v>-1211784485.17609</v>
      </c>
      <c r="I182" s="1765">
        <f>I180+I181</f>
        <v>0</v>
      </c>
      <c r="J182" s="1766"/>
    </row>
    <row r="183" spans="2:11">
      <c r="B183" s="1768"/>
      <c r="E183" s="1747"/>
      <c r="F183" s="1747"/>
      <c r="G183" s="1747"/>
      <c r="H183" s="1747"/>
      <c r="I183" s="1747"/>
      <c r="J183" s="1769"/>
    </row>
    <row r="184" spans="2:11" s="467" customFormat="1">
      <c r="B184" s="1748" t="s">
        <v>369</v>
      </c>
      <c r="G184" s="1785"/>
      <c r="H184" s="1785"/>
      <c r="I184" s="1785"/>
      <c r="J184" s="1786"/>
    </row>
    <row r="185" spans="2:11" s="467" customFormat="1" ht="12.75" customHeight="1">
      <c r="B185" s="1876" t="s">
        <v>1630</v>
      </c>
      <c r="C185" s="1876"/>
      <c r="D185" s="1876"/>
      <c r="E185" s="1876"/>
      <c r="F185" s="1876"/>
      <c r="G185" s="1876"/>
      <c r="H185" s="1876"/>
      <c r="I185" s="1876"/>
      <c r="J185" s="1786"/>
    </row>
    <row r="186" spans="2:11" s="467" customFormat="1">
      <c r="B186" s="1788" t="s">
        <v>365</v>
      </c>
      <c r="C186" s="1788"/>
      <c r="H186" s="1785"/>
      <c r="I186" s="1785"/>
      <c r="J186" s="1786"/>
    </row>
    <row r="187" spans="2:11" s="467" customFormat="1">
      <c r="B187" s="1788" t="s">
        <v>366</v>
      </c>
      <c r="C187" s="1788"/>
      <c r="H187" s="1785"/>
      <c r="I187" s="1785"/>
      <c r="J187" s="1786"/>
    </row>
    <row r="188" spans="2:11" s="467" customFormat="1">
      <c r="B188" s="1788" t="s">
        <v>367</v>
      </c>
      <c r="C188" s="1788"/>
      <c r="H188" s="1785"/>
      <c r="I188" s="1785"/>
      <c r="J188" s="1786"/>
    </row>
    <row r="189" spans="2:11" s="467" customFormat="1" ht="15.75" customHeight="1">
      <c r="B189" s="1876" t="s">
        <v>1069</v>
      </c>
      <c r="C189" s="1876"/>
      <c r="D189" s="1876"/>
      <c r="E189" s="1876"/>
      <c r="F189" s="1876"/>
      <c r="G189" s="1876"/>
      <c r="H189" s="1876"/>
      <c r="I189" s="1876"/>
      <c r="K189" s="1789"/>
    </row>
    <row r="190" spans="2:11" s="467" customFormat="1" ht="15.75" customHeight="1">
      <c r="B190" s="1876"/>
      <c r="C190" s="1876"/>
      <c r="D190" s="1876"/>
      <c r="E190" s="1876"/>
      <c r="F190" s="1876"/>
      <c r="G190" s="1876"/>
      <c r="H190" s="1876"/>
      <c r="I190" s="1876"/>
      <c r="K190" s="1789"/>
    </row>
    <row r="191" spans="2:11" s="467" customFormat="1">
      <c r="B191" s="1788" t="s">
        <v>1079</v>
      </c>
      <c r="G191" s="1785"/>
      <c r="H191" s="1785"/>
      <c r="I191" s="1785"/>
      <c r="J191" s="1786"/>
    </row>
    <row r="192" spans="2:11">
      <c r="B192" s="1801" t="s">
        <v>1080</v>
      </c>
    </row>
    <row r="193" spans="2:12" ht="12" customHeight="1">
      <c r="B193" s="1802"/>
      <c r="C193" s="1803"/>
      <c r="D193" s="1804"/>
      <c r="E193" s="1804"/>
      <c r="F193" s="1804"/>
      <c r="G193" s="1804"/>
      <c r="H193" s="1804"/>
      <c r="I193" s="1804"/>
      <c r="J193" s="1804"/>
    </row>
    <row r="194" spans="2:12">
      <c r="B194" s="1740"/>
    </row>
    <row r="195" spans="2:12">
      <c r="B195" s="1592" t="s">
        <v>216</v>
      </c>
      <c r="C195" s="1592"/>
      <c r="D195" s="1592"/>
      <c r="E195" s="1592" t="s">
        <v>217</v>
      </c>
      <c r="F195" s="1592" t="s">
        <v>1296</v>
      </c>
      <c r="G195" s="1592" t="s">
        <v>1580</v>
      </c>
      <c r="H195" s="1592" t="s">
        <v>1581</v>
      </c>
      <c r="I195" s="1592" t="s">
        <v>1582</v>
      </c>
      <c r="J195" s="1592" t="s">
        <v>1583</v>
      </c>
    </row>
    <row r="196" spans="2:12">
      <c r="B196" s="1748"/>
      <c r="C196" s="467" t="s">
        <v>101</v>
      </c>
      <c r="D196" s="467"/>
      <c r="E196" s="1592"/>
      <c r="F196" s="1592" t="s">
        <v>1619</v>
      </c>
      <c r="G196" s="1592" t="s">
        <v>345</v>
      </c>
      <c r="H196" s="1592"/>
      <c r="I196" s="1592"/>
      <c r="J196" s="467"/>
    </row>
    <row r="197" spans="2:12">
      <c r="B197" s="1748"/>
      <c r="C197" s="1754"/>
      <c r="D197" s="467"/>
      <c r="E197" s="1592"/>
      <c r="F197" s="1592" t="s">
        <v>1620</v>
      </c>
      <c r="G197" s="1592" t="s">
        <v>275</v>
      </c>
      <c r="H197" s="1592" t="s">
        <v>346</v>
      </c>
      <c r="I197" s="1592" t="s">
        <v>347</v>
      </c>
      <c r="J197" s="467"/>
      <c r="L197" s="1590" t="s">
        <v>101</v>
      </c>
    </row>
    <row r="198" spans="2:12">
      <c r="B198" s="1748" t="s">
        <v>1081</v>
      </c>
      <c r="C198" s="467"/>
      <c r="D198" s="467"/>
      <c r="E198" s="1592" t="s">
        <v>59</v>
      </c>
      <c r="F198" s="1744" t="s">
        <v>1621</v>
      </c>
      <c r="G198" s="1592" t="s">
        <v>348</v>
      </c>
      <c r="H198" s="1592" t="s">
        <v>348</v>
      </c>
      <c r="I198" s="1592" t="s">
        <v>348</v>
      </c>
      <c r="J198" s="1592" t="s">
        <v>352</v>
      </c>
    </row>
    <row r="199" spans="2:12" ht="25.5">
      <c r="B199" s="1755" t="s">
        <v>1920</v>
      </c>
      <c r="C199" s="1756"/>
      <c r="D199" s="1810"/>
      <c r="E199" s="1758">
        <f t="shared" ref="E199:E207" si="5">SUM(F199:I199)</f>
        <v>-7371209.0237407852</v>
      </c>
      <c r="F199" s="1758">
        <v>0</v>
      </c>
      <c r="G199" s="1758">
        <v>0</v>
      </c>
      <c r="H199" s="1758">
        <v>-7371209.0237407852</v>
      </c>
      <c r="I199" s="1758">
        <v>0</v>
      </c>
      <c r="J199" s="1613" t="s">
        <v>1946</v>
      </c>
    </row>
    <row r="200" spans="2:12">
      <c r="B200" s="1755" t="s">
        <v>1907</v>
      </c>
      <c r="C200" s="1756"/>
      <c r="D200" s="1810"/>
      <c r="E200" s="1758">
        <f t="shared" si="5"/>
        <v>-541475.30816519994</v>
      </c>
      <c r="F200" s="1758">
        <v>-541475.30816519994</v>
      </c>
      <c r="G200" s="1758">
        <v>0</v>
      </c>
      <c r="H200" s="1758">
        <v>0</v>
      </c>
      <c r="I200" s="1758">
        <v>0</v>
      </c>
      <c r="J200" s="1613" t="s">
        <v>1935</v>
      </c>
    </row>
    <row r="201" spans="2:12">
      <c r="B201" s="1755" t="s">
        <v>1932</v>
      </c>
      <c r="C201" s="1756"/>
      <c r="D201" s="1810"/>
      <c r="E201" s="1758">
        <f t="shared" si="5"/>
        <v>-422044.04727259994</v>
      </c>
      <c r="F201" s="1758">
        <v>-422044.04727259994</v>
      </c>
      <c r="G201" s="1758">
        <v>0</v>
      </c>
      <c r="H201" s="1758">
        <v>0</v>
      </c>
      <c r="I201" s="1758">
        <v>0</v>
      </c>
      <c r="J201" s="1613" t="s">
        <v>1935</v>
      </c>
    </row>
    <row r="202" spans="2:12" ht="25.5">
      <c r="B202" s="1755" t="s">
        <v>1921</v>
      </c>
      <c r="C202" s="1756"/>
      <c r="D202" s="1810"/>
      <c r="E202" s="1758">
        <f t="shared" si="5"/>
        <v>-81527470.557755306</v>
      </c>
      <c r="F202" s="1758">
        <v>0</v>
      </c>
      <c r="G202" s="1758">
        <v>0</v>
      </c>
      <c r="H202" s="1758">
        <v>0</v>
      </c>
      <c r="I202" s="1758">
        <v>-81527470.557755306</v>
      </c>
      <c r="J202" s="1613" t="s">
        <v>1947</v>
      </c>
    </row>
    <row r="203" spans="2:12">
      <c r="B203" s="1755" t="s">
        <v>130</v>
      </c>
      <c r="C203" s="1756"/>
      <c r="D203" s="1810"/>
      <c r="E203" s="1758">
        <f t="shared" si="5"/>
        <v>-561161.80024210003</v>
      </c>
      <c r="F203" s="1758">
        <v>0</v>
      </c>
      <c r="G203" s="1758">
        <v>0</v>
      </c>
      <c r="H203" s="1758">
        <v>0</v>
      </c>
      <c r="I203" s="1758">
        <v>-561161.80024210003</v>
      </c>
      <c r="J203" s="1613" t="s">
        <v>1935</v>
      </c>
    </row>
    <row r="204" spans="2:12">
      <c r="B204" s="1755" t="s">
        <v>1922</v>
      </c>
      <c r="C204" s="1756"/>
      <c r="D204" s="1810"/>
      <c r="E204" s="1758">
        <f t="shared" si="5"/>
        <v>-135715758.99678013</v>
      </c>
      <c r="F204" s="1758">
        <v>-135715758.99678013</v>
      </c>
      <c r="G204" s="1758">
        <v>0</v>
      </c>
      <c r="H204" s="1758">
        <v>0</v>
      </c>
      <c r="I204" s="1758">
        <v>0</v>
      </c>
      <c r="J204" s="1613" t="s">
        <v>1935</v>
      </c>
    </row>
    <row r="205" spans="2:12" ht="25.5">
      <c r="B205" s="1755" t="s">
        <v>1924</v>
      </c>
      <c r="C205" s="1756"/>
      <c r="D205" s="1810"/>
      <c r="E205" s="1758">
        <f t="shared" si="5"/>
        <v>-306075.32342999999</v>
      </c>
      <c r="F205" s="1758">
        <v>0</v>
      </c>
      <c r="G205" s="1758">
        <v>-306075.32342999999</v>
      </c>
      <c r="H205" s="1758">
        <v>0</v>
      </c>
      <c r="I205" s="1758">
        <v>0</v>
      </c>
      <c r="J205" s="1613" t="s">
        <v>1948</v>
      </c>
    </row>
    <row r="206" spans="2:12">
      <c r="B206" s="1755" t="s">
        <v>1923</v>
      </c>
      <c r="C206" s="1756"/>
      <c r="D206" s="1810"/>
      <c r="E206" s="1758">
        <f t="shared" si="5"/>
        <v>-8013343.5039232001</v>
      </c>
      <c r="F206" s="1758">
        <v>0</v>
      </c>
      <c r="G206" s="1758">
        <v>0</v>
      </c>
      <c r="H206" s="1758">
        <v>0</v>
      </c>
      <c r="I206" s="1758">
        <v>-8013343.5039232001</v>
      </c>
      <c r="J206" s="1613" t="s">
        <v>1935</v>
      </c>
    </row>
    <row r="207" spans="2:12" ht="25.5">
      <c r="B207" s="1755" t="s">
        <v>1925</v>
      </c>
      <c r="C207" s="1756"/>
      <c r="D207" s="1810"/>
      <c r="E207" s="1758">
        <f t="shared" si="5"/>
        <v>-3292178.4386906996</v>
      </c>
      <c r="F207" s="1758">
        <v>-3292178.4386906996</v>
      </c>
      <c r="G207" s="1758">
        <v>0</v>
      </c>
      <c r="H207" s="1758">
        <v>0</v>
      </c>
      <c r="I207" s="1758">
        <v>0</v>
      </c>
      <c r="J207" s="1613" t="s">
        <v>1949</v>
      </c>
    </row>
    <row r="208" spans="2:12">
      <c r="B208" s="1603" t="s">
        <v>1082</v>
      </c>
      <c r="C208" s="1760"/>
      <c r="D208" s="1760"/>
      <c r="E208" s="1602">
        <f>SUM(E199:E207)</f>
        <v>-237750717</v>
      </c>
      <c r="F208" s="1602">
        <f>SUM(F199:F207)</f>
        <v>-139971456.7909086</v>
      </c>
      <c r="G208" s="1602">
        <f>SUM(G199:G207)</f>
        <v>-306075.32342999999</v>
      </c>
      <c r="H208" s="1602">
        <f>SUM(H199:H207)</f>
        <v>-7371209.0237407852</v>
      </c>
      <c r="I208" s="1602">
        <f>SUM(I199:I207)</f>
        <v>-90101975.861920595</v>
      </c>
      <c r="J208" s="1761"/>
    </row>
    <row r="209" spans="2:10">
      <c r="B209" s="1603"/>
      <c r="C209" s="1760"/>
      <c r="D209" s="1760"/>
      <c r="E209" s="1602"/>
      <c r="F209" s="1602"/>
      <c r="G209" s="1602"/>
      <c r="H209" s="1602"/>
      <c r="I209" s="1602"/>
      <c r="J209" s="1761"/>
    </row>
    <row r="210" spans="2:10">
      <c r="B210" s="1609" t="s">
        <v>1626</v>
      </c>
      <c r="C210" s="1775"/>
      <c r="D210" s="1776"/>
      <c r="E210" s="1599">
        <f t="shared" ref="E210:E213" si="6">SUM(F210:I210)</f>
        <v>0</v>
      </c>
      <c r="F210" s="1599"/>
      <c r="G210" s="1599"/>
      <c r="H210" s="1599"/>
      <c r="I210" s="1599"/>
      <c r="J210" s="1606"/>
    </row>
    <row r="211" spans="2:10">
      <c r="B211" s="1604" t="s">
        <v>1627</v>
      </c>
      <c r="C211" s="1762"/>
      <c r="D211" s="1776"/>
      <c r="E211" s="1599">
        <f t="shared" si="6"/>
        <v>0</v>
      </c>
      <c r="F211" s="1599"/>
      <c r="G211" s="1599"/>
      <c r="H211" s="1599"/>
      <c r="I211" s="1599"/>
      <c r="J211" s="1606"/>
    </row>
    <row r="212" spans="2:10">
      <c r="B212" s="1604" t="s">
        <v>1628</v>
      </c>
      <c r="C212" s="1762"/>
      <c r="D212" s="1776"/>
      <c r="E212" s="1599">
        <f t="shared" si="6"/>
        <v>0</v>
      </c>
      <c r="F212" s="1599"/>
      <c r="G212" s="1599"/>
      <c r="H212" s="1599"/>
      <c r="I212" s="1599"/>
      <c r="J212" s="1606"/>
    </row>
    <row r="213" spans="2:10">
      <c r="B213" s="1604" t="s">
        <v>1138</v>
      </c>
      <c r="C213" s="1762"/>
      <c r="D213" s="1776"/>
      <c r="E213" s="1599">
        <f t="shared" si="6"/>
        <v>0</v>
      </c>
      <c r="F213" s="1599"/>
      <c r="G213" s="1599"/>
      <c r="H213" s="1599"/>
      <c r="I213" s="1599"/>
      <c r="J213" s="1606"/>
    </row>
    <row r="214" spans="2:10" ht="5.0999999999999996" customHeight="1">
      <c r="B214" s="1601"/>
      <c r="C214" s="1759"/>
      <c r="D214" s="1760"/>
      <c r="E214" s="1602"/>
      <c r="F214" s="1602"/>
      <c r="G214" s="1602"/>
      <c r="H214" s="1602"/>
      <c r="I214" s="1602"/>
      <c r="J214" s="1761"/>
    </row>
    <row r="215" spans="2:10">
      <c r="B215" s="1610" t="s">
        <v>1083</v>
      </c>
      <c r="C215" s="1777"/>
      <c r="D215" s="1760"/>
      <c r="E215" s="1602">
        <f>SUM(E210:E213)+E208</f>
        <v>-237750717</v>
      </c>
      <c r="F215" s="1602">
        <f>SUM(F210:F213)+F208</f>
        <v>-139971456.7909086</v>
      </c>
      <c r="G215" s="1602">
        <f>SUM(G210:G213)+G208</f>
        <v>-306075.32342999999</v>
      </c>
      <c r="H215" s="1602">
        <f>SUM(H210:H213)+H208</f>
        <v>-7371209.0237407852</v>
      </c>
      <c r="I215" s="1602">
        <f>SUM(I210:I213)+I208</f>
        <v>-90101975.861920595</v>
      </c>
      <c r="J215" s="1761"/>
    </row>
    <row r="216" spans="2:10">
      <c r="B216" s="1778"/>
      <c r="C216" s="1611"/>
      <c r="D216" s="1611"/>
      <c r="E216" s="1765"/>
      <c r="F216" s="1602"/>
      <c r="G216" s="1602"/>
      <c r="H216" s="1602"/>
      <c r="I216" s="1602"/>
      <c r="J216" s="1766"/>
    </row>
    <row r="217" spans="2:10">
      <c r="B217" s="1779" t="s">
        <v>351</v>
      </c>
      <c r="C217" s="1780"/>
      <c r="D217" s="1607"/>
      <c r="E217" s="1765"/>
      <c r="F217" s="1765"/>
      <c r="G217" s="1765"/>
      <c r="H217" s="1765"/>
      <c r="I217" s="1608">
        <v>0.10739935091898387</v>
      </c>
      <c r="J217" s="1766"/>
    </row>
    <row r="218" spans="2:10">
      <c r="B218" s="1763" t="s">
        <v>298</v>
      </c>
      <c r="C218" s="1764"/>
      <c r="D218" s="1607"/>
      <c r="E218" s="1765"/>
      <c r="F218" s="1765"/>
      <c r="G218" s="1765"/>
      <c r="H218" s="1608">
        <v>0.18101737719317576</v>
      </c>
      <c r="I218" s="1765"/>
      <c r="J218" s="1766"/>
    </row>
    <row r="219" spans="2:10">
      <c r="B219" s="1763" t="s">
        <v>1062</v>
      </c>
      <c r="C219" s="1764"/>
      <c r="D219" s="1607"/>
      <c r="E219" s="1765"/>
      <c r="F219" s="1765"/>
      <c r="G219" s="1608">
        <v>1</v>
      </c>
      <c r="H219" s="1765"/>
      <c r="I219" s="1765"/>
      <c r="J219" s="1766"/>
    </row>
    <row r="220" spans="2:10">
      <c r="B220" s="1763" t="s">
        <v>1063</v>
      </c>
      <c r="C220" s="1764"/>
      <c r="D220" s="1607"/>
      <c r="E220" s="1765"/>
      <c r="F220" s="1608">
        <v>0</v>
      </c>
      <c r="G220" s="1765"/>
      <c r="H220" s="1765"/>
      <c r="I220" s="1765"/>
      <c r="J220" s="1766"/>
    </row>
    <row r="221" spans="2:10" ht="17.25" customHeight="1">
      <c r="B221" s="1767" t="s">
        <v>1064</v>
      </c>
      <c r="C221" s="1764"/>
      <c r="D221" s="1607"/>
      <c r="E221" s="1765">
        <f>F221+G221+H221+I221</f>
        <v>-11317285.97173845</v>
      </c>
      <c r="F221" s="1765">
        <f>F220*F215</f>
        <v>0</v>
      </c>
      <c r="G221" s="1765">
        <f>G215*G219</f>
        <v>-306075.32342999999</v>
      </c>
      <c r="H221" s="1765">
        <f>H215*H218</f>
        <v>-1334316.9242202265</v>
      </c>
      <c r="I221" s="1765">
        <f>I217*I215</f>
        <v>-9676893.7240882237</v>
      </c>
      <c r="J221" s="1766"/>
    </row>
    <row r="222" spans="2:10" ht="12.75" customHeight="1">
      <c r="B222" s="1802"/>
      <c r="C222" s="1804"/>
      <c r="D222" s="1804"/>
      <c r="E222" s="1804"/>
      <c r="F222" s="1804"/>
      <c r="G222" s="1804"/>
      <c r="H222" s="1804"/>
      <c r="I222" s="1804"/>
      <c r="J222" s="1804"/>
    </row>
    <row r="223" spans="2:10">
      <c r="B223" s="1592"/>
      <c r="C223" s="1592"/>
      <c r="D223" s="1592"/>
      <c r="E223" s="1592"/>
      <c r="F223" s="1592"/>
      <c r="G223" s="1592"/>
      <c r="H223" s="1592"/>
      <c r="I223" s="1592"/>
      <c r="J223" s="1592"/>
    </row>
    <row r="224" spans="2:10">
      <c r="B224" s="1592" t="s">
        <v>216</v>
      </c>
      <c r="C224" s="467"/>
      <c r="D224" s="467"/>
      <c r="E224" s="1592" t="s">
        <v>217</v>
      </c>
      <c r="F224" s="1592" t="s">
        <v>1296</v>
      </c>
      <c r="G224" s="1592" t="s">
        <v>1580</v>
      </c>
      <c r="H224" s="1592" t="s">
        <v>1581</v>
      </c>
      <c r="I224" s="1592" t="s">
        <v>1582</v>
      </c>
      <c r="J224" s="1592" t="s">
        <v>1583</v>
      </c>
    </row>
    <row r="225" spans="2:10">
      <c r="B225" s="1748"/>
      <c r="C225" s="467"/>
      <c r="D225" s="467"/>
      <c r="E225" s="1592"/>
      <c r="F225" s="1592" t="s">
        <v>1619</v>
      </c>
      <c r="G225" s="1592" t="s">
        <v>345</v>
      </c>
      <c r="H225" s="1592"/>
      <c r="I225" s="1592"/>
      <c r="J225" s="467"/>
    </row>
    <row r="226" spans="2:10">
      <c r="B226" s="1781"/>
      <c r="C226" s="467"/>
      <c r="D226" s="467"/>
      <c r="E226" s="1592"/>
      <c r="F226" s="1592" t="s">
        <v>1620</v>
      </c>
      <c r="G226" s="1592" t="s">
        <v>275</v>
      </c>
      <c r="H226" s="1592" t="s">
        <v>346</v>
      </c>
      <c r="I226" s="1592" t="s">
        <v>347</v>
      </c>
      <c r="J226" s="467"/>
    </row>
    <row r="227" spans="2:10">
      <c r="B227" s="1748" t="s">
        <v>1084</v>
      </c>
      <c r="E227" s="1592" t="s">
        <v>59</v>
      </c>
      <c r="F227" s="1744" t="s">
        <v>1621</v>
      </c>
      <c r="G227" s="1592" t="s">
        <v>348</v>
      </c>
      <c r="H227" s="1592" t="s">
        <v>348</v>
      </c>
      <c r="I227" s="1592" t="s">
        <v>348</v>
      </c>
      <c r="J227" s="1592" t="s">
        <v>352</v>
      </c>
    </row>
    <row r="228" spans="2:10">
      <c r="B228" s="1598"/>
      <c r="C228" s="1807"/>
      <c r="D228" s="1772"/>
      <c r="E228" s="1599">
        <f t="shared" ref="E228:E234" si="7">SUM(F228:I228)</f>
        <v>0</v>
      </c>
      <c r="F228" s="1599"/>
      <c r="G228" s="1599"/>
      <c r="H228" s="1599"/>
      <c r="I228" s="1599"/>
      <c r="J228" s="1600"/>
    </row>
    <row r="229" spans="2:10">
      <c r="B229" s="1598"/>
      <c r="C229" s="1807"/>
      <c r="D229" s="1772"/>
      <c r="E229" s="1599">
        <f t="shared" si="7"/>
        <v>0</v>
      </c>
      <c r="F229" s="1599"/>
      <c r="G229" s="1599"/>
      <c r="H229" s="1599"/>
      <c r="I229" s="1599"/>
      <c r="J229" s="1600"/>
    </row>
    <row r="230" spans="2:10">
      <c r="B230" s="1598"/>
      <c r="C230" s="1807"/>
      <c r="D230" s="1772"/>
      <c r="E230" s="1599">
        <f t="shared" si="7"/>
        <v>0</v>
      </c>
      <c r="F230" s="1599"/>
      <c r="G230" s="1599"/>
      <c r="H230" s="1599"/>
      <c r="I230" s="1599"/>
      <c r="J230" s="1600"/>
    </row>
    <row r="231" spans="2:10">
      <c r="B231" s="1598"/>
      <c r="C231" s="1807"/>
      <c r="D231" s="1772"/>
      <c r="E231" s="1599">
        <f t="shared" si="7"/>
        <v>0</v>
      </c>
      <c r="F231" s="1599"/>
      <c r="G231" s="1599"/>
      <c r="H231" s="1599"/>
      <c r="I231" s="1599"/>
      <c r="J231" s="1600"/>
    </row>
    <row r="232" spans="2:10">
      <c r="B232" s="1598"/>
      <c r="C232" s="1807"/>
      <c r="D232" s="1772"/>
      <c r="E232" s="1599">
        <f t="shared" si="7"/>
        <v>0</v>
      </c>
      <c r="F232" s="1599"/>
      <c r="G232" s="1599"/>
      <c r="H232" s="1599"/>
      <c r="I232" s="1599"/>
      <c r="J232" s="1600"/>
    </row>
    <row r="233" spans="2:10">
      <c r="B233" s="1598"/>
      <c r="C233" s="1807"/>
      <c r="D233" s="1772"/>
      <c r="E233" s="1599">
        <f t="shared" si="7"/>
        <v>0</v>
      </c>
      <c r="F233" s="1599"/>
      <c r="G233" s="1599"/>
      <c r="H233" s="1599"/>
      <c r="I233" s="1599"/>
      <c r="J233" s="1600"/>
    </row>
    <row r="234" spans="2:10">
      <c r="B234" s="1598"/>
      <c r="C234" s="1807"/>
      <c r="D234" s="1771"/>
      <c r="E234" s="1599">
        <f t="shared" si="7"/>
        <v>0</v>
      </c>
      <c r="F234" s="1773"/>
      <c r="G234" s="1773"/>
      <c r="H234" s="1773"/>
      <c r="I234" s="1773"/>
      <c r="J234" s="1774"/>
    </row>
    <row r="235" spans="2:10">
      <c r="B235" s="1603" t="s">
        <v>1139</v>
      </c>
      <c r="C235" s="1760"/>
      <c r="D235" s="1602"/>
      <c r="E235" s="1602">
        <f>SUM(E228:E234)</f>
        <v>0</v>
      </c>
      <c r="F235" s="1602">
        <f>SUM(F228:F234)</f>
        <v>0</v>
      </c>
      <c r="G235" s="1602">
        <f>SUM(G228:G234)</f>
        <v>0</v>
      </c>
      <c r="H235" s="1602">
        <f>SUM(H228:H234)</f>
        <v>0</v>
      </c>
      <c r="I235" s="1602">
        <f>SUM(I228:I234)</f>
        <v>0</v>
      </c>
      <c r="J235" s="1761"/>
    </row>
    <row r="236" spans="2:10">
      <c r="B236" s="1603"/>
      <c r="C236" s="1760"/>
      <c r="D236" s="1760"/>
      <c r="E236" s="1602"/>
      <c r="F236" s="1602"/>
      <c r="G236" s="1602"/>
      <c r="H236" s="1602"/>
      <c r="I236" s="1602"/>
      <c r="J236" s="1761"/>
    </row>
    <row r="237" spans="2:10">
      <c r="B237" s="1609" t="s">
        <v>1626</v>
      </c>
      <c r="C237" s="1775"/>
      <c r="D237" s="1776"/>
      <c r="E237" s="1599">
        <f t="shared" ref="E237:E240" si="8">SUM(F237:I237)</f>
        <v>0</v>
      </c>
      <c r="F237" s="1599"/>
      <c r="G237" s="1599"/>
      <c r="H237" s="1599"/>
      <c r="I237" s="1599"/>
      <c r="J237" s="1606"/>
    </row>
    <row r="238" spans="2:10">
      <c r="B238" s="1604" t="s">
        <v>1627</v>
      </c>
      <c r="C238" s="1762"/>
      <c r="D238" s="1776"/>
      <c r="E238" s="1599">
        <f t="shared" si="8"/>
        <v>0</v>
      </c>
      <c r="F238" s="1599"/>
      <c r="G238" s="1599"/>
      <c r="H238" s="1599"/>
      <c r="I238" s="1599"/>
      <c r="J238" s="1606"/>
    </row>
    <row r="239" spans="2:10">
      <c r="B239" s="1604" t="s">
        <v>1628</v>
      </c>
      <c r="C239" s="1762"/>
      <c r="D239" s="1776"/>
      <c r="E239" s="1599">
        <f t="shared" si="8"/>
        <v>0</v>
      </c>
      <c r="F239" s="1599"/>
      <c r="G239" s="1599"/>
      <c r="H239" s="1599"/>
      <c r="I239" s="1599"/>
      <c r="J239" s="1606"/>
    </row>
    <row r="240" spans="2:10">
      <c r="B240" s="1604" t="s">
        <v>1138</v>
      </c>
      <c r="C240" s="1762"/>
      <c r="D240" s="1776"/>
      <c r="E240" s="1599">
        <f t="shared" si="8"/>
        <v>0</v>
      </c>
      <c r="F240" s="1599"/>
      <c r="G240" s="1599"/>
      <c r="H240" s="1599"/>
      <c r="I240" s="1599"/>
      <c r="J240" s="1606"/>
    </row>
    <row r="241" spans="2:10" ht="5.0999999999999996" customHeight="1">
      <c r="B241" s="1601"/>
      <c r="C241" s="1759"/>
      <c r="D241" s="1760"/>
      <c r="E241" s="1602"/>
      <c r="F241" s="1602"/>
      <c r="G241" s="1602"/>
      <c r="H241" s="1602"/>
      <c r="I241" s="1602"/>
      <c r="J241" s="1761"/>
    </row>
    <row r="242" spans="2:10">
      <c r="B242" s="1610" t="s">
        <v>1085</v>
      </c>
      <c r="C242" s="1777"/>
      <c r="D242" s="1760"/>
      <c r="E242" s="1602">
        <f>SUM(E237:E240)+E235</f>
        <v>0</v>
      </c>
      <c r="F242" s="1602">
        <f>SUM(F237:F240)+F235</f>
        <v>0</v>
      </c>
      <c r="G242" s="1602">
        <f>SUM(G237:G240)+G235</f>
        <v>0</v>
      </c>
      <c r="H242" s="1602">
        <f>SUM(H237:H240)+H235</f>
        <v>0</v>
      </c>
      <c r="I242" s="1602">
        <f>SUM(I237:I240)+I235</f>
        <v>0</v>
      </c>
      <c r="J242" s="1761"/>
    </row>
    <row r="243" spans="2:10">
      <c r="B243" s="1778"/>
      <c r="C243" s="1611"/>
      <c r="D243" s="1611"/>
      <c r="E243" s="1765"/>
      <c r="F243" s="1602"/>
      <c r="G243" s="1602"/>
      <c r="H243" s="1602"/>
      <c r="I243" s="1602"/>
      <c r="J243" s="1766"/>
    </row>
    <row r="244" spans="2:10">
      <c r="B244" s="1779" t="s">
        <v>351</v>
      </c>
      <c r="C244" s="1780"/>
      <c r="D244" s="1607"/>
      <c r="E244" s="1765"/>
      <c r="F244" s="1765"/>
      <c r="G244" s="1765"/>
      <c r="H244" s="1765"/>
      <c r="I244" s="1608">
        <v>0.10739935091898387</v>
      </c>
      <c r="J244" s="1766"/>
    </row>
    <row r="245" spans="2:10">
      <c r="B245" s="1763" t="s">
        <v>298</v>
      </c>
      <c r="C245" s="1764"/>
      <c r="D245" s="1607"/>
      <c r="E245" s="1765"/>
      <c r="F245" s="1765"/>
      <c r="G245" s="1765"/>
      <c r="H245" s="1608">
        <v>0.18101737719317576</v>
      </c>
      <c r="I245" s="1765"/>
      <c r="J245" s="1766"/>
    </row>
    <row r="246" spans="2:10">
      <c r="B246" s="1763" t="s">
        <v>1062</v>
      </c>
      <c r="C246" s="1764"/>
      <c r="D246" s="1607"/>
      <c r="E246" s="1765"/>
      <c r="F246" s="1765"/>
      <c r="G246" s="1608">
        <v>1</v>
      </c>
      <c r="H246" s="1765"/>
      <c r="I246" s="1765"/>
      <c r="J246" s="1766"/>
    </row>
    <row r="247" spans="2:10">
      <c r="B247" s="1763" t="s">
        <v>1063</v>
      </c>
      <c r="C247" s="1764"/>
      <c r="D247" s="1607"/>
      <c r="E247" s="1765"/>
      <c r="F247" s="1608">
        <v>0</v>
      </c>
      <c r="G247" s="1765"/>
      <c r="H247" s="1765"/>
      <c r="I247" s="1765"/>
      <c r="J247" s="1766"/>
    </row>
    <row r="248" spans="2:10">
      <c r="B248" s="1767" t="s">
        <v>1064</v>
      </c>
      <c r="C248" s="1764"/>
      <c r="D248" s="1607"/>
      <c r="E248" s="1765">
        <f>F248+G248+H248+I248</f>
        <v>0</v>
      </c>
      <c r="F248" s="1765">
        <f>F247*F242</f>
        <v>0</v>
      </c>
      <c r="G248" s="1765">
        <f>G242*G246</f>
        <v>0</v>
      </c>
      <c r="H248" s="1765">
        <f>H242*H245</f>
        <v>0</v>
      </c>
      <c r="I248" s="1765">
        <f>I244*I242</f>
        <v>0</v>
      </c>
      <c r="J248" s="1766"/>
    </row>
    <row r="249" spans="2:10">
      <c r="B249" s="1768"/>
      <c r="E249" s="1747"/>
      <c r="F249" s="1747"/>
      <c r="G249" s="1747"/>
      <c r="H249" s="1747"/>
      <c r="I249" s="1747"/>
      <c r="J249" s="1769"/>
    </row>
    <row r="250" spans="2:10">
      <c r="B250" s="1768"/>
      <c r="E250" s="1747"/>
      <c r="F250" s="1747"/>
      <c r="G250" s="1747"/>
      <c r="H250" s="1747"/>
      <c r="I250" s="1747"/>
      <c r="J250" s="1769"/>
    </row>
    <row r="251" spans="2:10">
      <c r="B251" s="1592"/>
      <c r="C251" s="1592"/>
      <c r="D251" s="1592"/>
      <c r="E251" s="1592"/>
      <c r="F251" s="1592"/>
      <c r="G251" s="1592"/>
      <c r="H251" s="1592"/>
      <c r="I251" s="1592"/>
      <c r="J251" s="1592"/>
    </row>
    <row r="252" spans="2:10">
      <c r="B252" s="1592" t="s">
        <v>216</v>
      </c>
      <c r="C252" s="467"/>
      <c r="D252" s="467"/>
      <c r="E252" s="1592" t="s">
        <v>217</v>
      </c>
      <c r="F252" s="1592" t="s">
        <v>1296</v>
      </c>
      <c r="G252" s="1592" t="s">
        <v>1580</v>
      </c>
      <c r="H252" s="1592" t="s">
        <v>1581</v>
      </c>
      <c r="I252" s="1592" t="s">
        <v>1582</v>
      </c>
      <c r="J252" s="1592" t="s">
        <v>1583</v>
      </c>
    </row>
    <row r="253" spans="2:10">
      <c r="B253" s="1748"/>
      <c r="C253" s="467"/>
      <c r="D253" s="467"/>
      <c r="E253" s="1592"/>
      <c r="F253" s="1592" t="s">
        <v>1619</v>
      </c>
      <c r="G253" s="1592" t="s">
        <v>345</v>
      </c>
      <c r="H253" s="1592"/>
      <c r="I253" s="1592"/>
      <c r="J253" s="467"/>
    </row>
    <row r="254" spans="2:10">
      <c r="B254" s="1781"/>
      <c r="C254" s="467"/>
      <c r="D254" s="467"/>
      <c r="E254" s="1592"/>
      <c r="F254" s="1592" t="s">
        <v>1620</v>
      </c>
      <c r="G254" s="1592" t="s">
        <v>275</v>
      </c>
      <c r="H254" s="1592" t="s">
        <v>346</v>
      </c>
      <c r="I254" s="1592" t="s">
        <v>347</v>
      </c>
      <c r="J254" s="467"/>
    </row>
    <row r="255" spans="2:10">
      <c r="B255" s="1748" t="s">
        <v>1084</v>
      </c>
      <c r="E255" s="1592" t="s">
        <v>59</v>
      </c>
      <c r="F255" s="1744" t="s">
        <v>1621</v>
      </c>
      <c r="G255" s="1592" t="s">
        <v>348</v>
      </c>
      <c r="H255" s="1592" t="s">
        <v>348</v>
      </c>
      <c r="I255" s="1592" t="s">
        <v>348</v>
      </c>
      <c r="J255" s="1592" t="s">
        <v>352</v>
      </c>
    </row>
    <row r="256" spans="2:10">
      <c r="B256" s="1607" t="s">
        <v>1137</v>
      </c>
      <c r="C256" s="1607"/>
      <c r="D256" s="1607"/>
      <c r="E256" s="1602">
        <f>SUM(F256:I256)</f>
        <v>-237750717</v>
      </c>
      <c r="F256" s="1765">
        <f>F208</f>
        <v>-139971456.7909086</v>
      </c>
      <c r="G256" s="1765">
        <f>G208</f>
        <v>-306075.32342999999</v>
      </c>
      <c r="H256" s="1765">
        <f>H208</f>
        <v>-7371209.0237407852</v>
      </c>
      <c r="I256" s="1765">
        <f>I208</f>
        <v>-90101975.861920595</v>
      </c>
      <c r="J256" s="1766"/>
    </row>
    <row r="257" spans="2:11">
      <c r="B257" s="1607" t="s">
        <v>1084</v>
      </c>
      <c r="C257" s="1607"/>
      <c r="D257" s="1607"/>
      <c r="E257" s="1602">
        <f>SUM(F257:I257)</f>
        <v>0</v>
      </c>
      <c r="F257" s="1765">
        <f>F235</f>
        <v>0</v>
      </c>
      <c r="G257" s="1765">
        <f>G235</f>
        <v>0</v>
      </c>
      <c r="H257" s="1765">
        <f>H235</f>
        <v>0</v>
      </c>
      <c r="I257" s="1765">
        <f>I235</f>
        <v>0</v>
      </c>
      <c r="J257" s="1766"/>
    </row>
    <row r="258" spans="2:11">
      <c r="B258" s="1603" t="s">
        <v>1078</v>
      </c>
      <c r="C258" s="1607"/>
      <c r="D258" s="1607"/>
      <c r="E258" s="1765">
        <f>E256+E257</f>
        <v>-237750717</v>
      </c>
      <c r="F258" s="1765">
        <f>F256+F257</f>
        <v>-139971456.7909086</v>
      </c>
      <c r="G258" s="1765">
        <f>G256+G257</f>
        <v>-306075.32342999999</v>
      </c>
      <c r="H258" s="1765">
        <f>H256+H257</f>
        <v>-7371209.0237407852</v>
      </c>
      <c r="I258" s="1765">
        <f>I256+I257</f>
        <v>-90101975.861920595</v>
      </c>
      <c r="J258" s="1766"/>
    </row>
    <row r="259" spans="2:11">
      <c r="B259" s="1768"/>
      <c r="E259" s="1747"/>
      <c r="F259" s="1747"/>
      <c r="G259" s="1747"/>
      <c r="H259" s="1747"/>
      <c r="I259" s="1747"/>
      <c r="J259" s="1769"/>
    </row>
    <row r="260" spans="2:11" s="467" customFormat="1">
      <c r="B260" s="1748" t="s">
        <v>377</v>
      </c>
      <c r="G260" s="1785"/>
      <c r="H260" s="1785"/>
      <c r="I260" s="1785"/>
      <c r="J260" s="1786"/>
    </row>
    <row r="261" spans="2:11" s="467" customFormat="1">
      <c r="B261" s="1876" t="s">
        <v>1630</v>
      </c>
      <c r="C261" s="1876"/>
      <c r="D261" s="1876"/>
      <c r="E261" s="1876"/>
      <c r="F261" s="1876"/>
      <c r="G261" s="1876"/>
      <c r="H261" s="1876"/>
      <c r="I261" s="1876"/>
      <c r="J261" s="1786"/>
    </row>
    <row r="262" spans="2:11" s="467" customFormat="1">
      <c r="B262" s="1801" t="s">
        <v>365</v>
      </c>
      <c r="G262" s="1785"/>
      <c r="H262" s="1785"/>
      <c r="I262" s="1785"/>
      <c r="J262" s="1786"/>
    </row>
    <row r="263" spans="2:11" s="467" customFormat="1">
      <c r="B263" s="1801" t="s">
        <v>366</v>
      </c>
      <c r="G263" s="1785"/>
      <c r="H263" s="1785"/>
      <c r="I263" s="1785"/>
      <c r="J263" s="1786"/>
    </row>
    <row r="264" spans="2:11" s="467" customFormat="1">
      <c r="B264" s="1801" t="s">
        <v>367</v>
      </c>
      <c r="G264" s="1785"/>
      <c r="H264" s="1785"/>
      <c r="I264" s="1785"/>
      <c r="J264" s="1786"/>
    </row>
    <row r="265" spans="2:11" s="467" customFormat="1" ht="15.75" customHeight="1">
      <c r="B265" s="1871" t="s">
        <v>368</v>
      </c>
      <c r="C265" s="1871"/>
      <c r="D265" s="1871"/>
      <c r="E265" s="1871"/>
      <c r="F265" s="1871"/>
      <c r="G265" s="1871"/>
      <c r="H265" s="1871"/>
      <c r="I265" s="1871"/>
      <c r="K265" s="1789"/>
    </row>
    <row r="266" spans="2:11" s="467" customFormat="1" ht="15.75" customHeight="1">
      <c r="B266" s="1871"/>
      <c r="C266" s="1871"/>
      <c r="D266" s="1871"/>
      <c r="E266" s="1871"/>
      <c r="F266" s="1871"/>
      <c r="G266" s="1871"/>
      <c r="H266" s="1871"/>
      <c r="I266" s="1871"/>
      <c r="K266" s="1789"/>
    </row>
    <row r="267" spans="2:11" s="467" customFormat="1">
      <c r="B267" s="1788" t="s">
        <v>1086</v>
      </c>
      <c r="G267" s="1785"/>
      <c r="H267" s="1785"/>
      <c r="I267" s="1785"/>
      <c r="J267" s="1786"/>
    </row>
    <row r="268" spans="2:11">
      <c r="B268" s="1801" t="s">
        <v>1080</v>
      </c>
    </row>
    <row r="269" spans="2:11" ht="12" customHeight="1">
      <c r="B269" s="1802"/>
      <c r="C269" s="1803"/>
      <c r="D269" s="1804"/>
      <c r="E269" s="1804"/>
      <c r="F269" s="1804"/>
      <c r="G269" s="1804"/>
      <c r="H269" s="1804"/>
      <c r="I269" s="1804"/>
      <c r="J269" s="1804"/>
    </row>
    <row r="270" spans="2:11" ht="12.75" customHeight="1">
      <c r="B270" s="1802"/>
      <c r="C270" s="1804"/>
      <c r="D270" s="1804"/>
      <c r="E270" s="1804"/>
      <c r="F270" s="1804"/>
      <c r="G270" s="1804"/>
      <c r="H270" s="1804"/>
      <c r="I270" s="1804"/>
      <c r="J270" s="1804"/>
    </row>
    <row r="271" spans="2:11">
      <c r="B271" s="1592" t="s">
        <v>216</v>
      </c>
      <c r="C271" s="467"/>
      <c r="D271" s="467"/>
      <c r="E271" s="1592" t="s">
        <v>217</v>
      </c>
      <c r="F271" s="1592" t="s">
        <v>1296</v>
      </c>
      <c r="G271" s="1592" t="s">
        <v>1580</v>
      </c>
      <c r="H271" s="1592" t="s">
        <v>1581</v>
      </c>
      <c r="I271" s="1592" t="s">
        <v>1582</v>
      </c>
      <c r="J271" s="1592" t="s">
        <v>1583</v>
      </c>
    </row>
    <row r="272" spans="2:11">
      <c r="B272" s="1748"/>
      <c r="C272" s="467"/>
      <c r="D272" s="467"/>
      <c r="E272" s="1592"/>
      <c r="F272" s="1592" t="s">
        <v>1619</v>
      </c>
      <c r="G272" s="1592" t="s">
        <v>345</v>
      </c>
      <c r="H272" s="1592"/>
      <c r="I272" s="1592"/>
      <c r="J272" s="467"/>
    </row>
    <row r="273" spans="2:10">
      <c r="B273" s="1781"/>
      <c r="C273" s="467"/>
      <c r="D273" s="467"/>
      <c r="E273" s="1592"/>
      <c r="F273" s="1592" t="s">
        <v>1620</v>
      </c>
      <c r="G273" s="1592" t="s">
        <v>275</v>
      </c>
      <c r="H273" s="1592" t="s">
        <v>346</v>
      </c>
      <c r="I273" s="1592" t="s">
        <v>347</v>
      </c>
      <c r="J273" s="467"/>
    </row>
    <row r="274" spans="2:10">
      <c r="B274" s="1748" t="s">
        <v>1641</v>
      </c>
      <c r="E274" s="1592" t="s">
        <v>59</v>
      </c>
      <c r="F274" s="1744" t="s">
        <v>1621</v>
      </c>
      <c r="G274" s="1592" t="s">
        <v>348</v>
      </c>
      <c r="H274" s="1592" t="s">
        <v>348</v>
      </c>
      <c r="I274" s="1592" t="s">
        <v>348</v>
      </c>
      <c r="J274" s="1592" t="s">
        <v>352</v>
      </c>
    </row>
    <row r="275" spans="2:10">
      <c r="B275" s="1598"/>
      <c r="C275" s="1770"/>
      <c r="D275" s="1772"/>
      <c r="E275" s="1599">
        <f t="shared" ref="E275:E281" si="9">SUM(F275:I275)</f>
        <v>0</v>
      </c>
      <c r="F275" s="1599"/>
      <c r="G275" s="1599"/>
      <c r="H275" s="1599"/>
      <c r="I275" s="1599"/>
      <c r="J275" s="1613"/>
    </row>
    <row r="276" spans="2:10">
      <c r="B276" s="1598" t="s">
        <v>1633</v>
      </c>
      <c r="C276" s="1770"/>
      <c r="D276" s="1772"/>
      <c r="E276" s="1599">
        <f t="shared" si="9"/>
        <v>-1674040</v>
      </c>
      <c r="F276" s="1599"/>
      <c r="G276" s="1599"/>
      <c r="H276" s="1599">
        <v>-1674040</v>
      </c>
      <c r="I276" s="1599"/>
      <c r="J276" s="1613"/>
    </row>
    <row r="277" spans="2:10">
      <c r="B277" s="1598"/>
      <c r="C277" s="1770"/>
      <c r="D277" s="1772"/>
      <c r="E277" s="1599">
        <f t="shared" si="9"/>
        <v>0</v>
      </c>
      <c r="F277" s="1599"/>
      <c r="G277" s="1599"/>
      <c r="H277" s="1599"/>
      <c r="I277" s="1599"/>
      <c r="J277" s="1613"/>
    </row>
    <row r="278" spans="2:10">
      <c r="B278" s="1598"/>
      <c r="C278" s="1770"/>
      <c r="D278" s="1772"/>
      <c r="E278" s="1599">
        <f t="shared" si="9"/>
        <v>0</v>
      </c>
      <c r="F278" s="1599"/>
      <c r="G278" s="1599"/>
      <c r="H278" s="1599"/>
      <c r="I278" s="1599"/>
      <c r="J278" s="1613"/>
    </row>
    <row r="279" spans="2:10">
      <c r="B279" s="1598"/>
      <c r="C279" s="1770"/>
      <c r="D279" s="1772"/>
      <c r="E279" s="1599">
        <f t="shared" si="9"/>
        <v>0</v>
      </c>
      <c r="F279" s="1599"/>
      <c r="G279" s="1599"/>
      <c r="H279" s="1599"/>
      <c r="I279" s="1599"/>
      <c r="J279" s="1613"/>
    </row>
    <row r="280" spans="2:10">
      <c r="B280" s="1598"/>
      <c r="C280" s="1770"/>
      <c r="D280" s="1772"/>
      <c r="E280" s="1599">
        <f t="shared" si="9"/>
        <v>0</v>
      </c>
      <c r="F280" s="1599"/>
      <c r="G280" s="1599"/>
      <c r="H280" s="1599"/>
      <c r="I280" s="1599"/>
      <c r="J280" s="1613"/>
    </row>
    <row r="281" spans="2:10">
      <c r="B281" s="1598"/>
      <c r="C281" s="1770"/>
      <c r="D281" s="1772"/>
      <c r="E281" s="1599">
        <f t="shared" si="9"/>
        <v>0</v>
      </c>
      <c r="F281" s="1599"/>
      <c r="G281" s="1599"/>
      <c r="H281" s="1599"/>
      <c r="I281" s="1599"/>
      <c r="J281" s="1613"/>
    </row>
    <row r="282" spans="2:10">
      <c r="B282" s="1603" t="s">
        <v>1634</v>
      </c>
      <c r="C282" s="1777"/>
      <c r="D282" s="1760"/>
      <c r="E282" s="1602">
        <f>SUM(E275:E281)</f>
        <v>-1674040</v>
      </c>
      <c r="F282" s="1602">
        <f>SUM(F275:F281)</f>
        <v>0</v>
      </c>
      <c r="G282" s="1602">
        <f>SUM(G275:G281)</f>
        <v>0</v>
      </c>
      <c r="H282" s="1602">
        <f>SUM(H275:H281)</f>
        <v>-1674040</v>
      </c>
      <c r="I282" s="1602">
        <f>SUM(I275:I281)</f>
        <v>0</v>
      </c>
      <c r="J282" s="1761"/>
    </row>
    <row r="283" spans="2:10">
      <c r="B283" s="1603"/>
      <c r="C283" s="1760"/>
      <c r="D283" s="1760"/>
      <c r="E283" s="1602"/>
      <c r="F283" s="1602"/>
      <c r="G283" s="1602"/>
      <c r="H283" s="1602"/>
      <c r="I283" s="1602"/>
      <c r="J283" s="1761"/>
    </row>
    <row r="284" spans="2:10">
      <c r="B284" s="1604" t="s">
        <v>1635</v>
      </c>
      <c r="C284" s="1762"/>
      <c r="D284" s="1776"/>
      <c r="E284" s="1599">
        <f t="shared" ref="E284" si="10">SUM(F284:I284)</f>
        <v>1674040</v>
      </c>
      <c r="F284" s="1599">
        <v>0</v>
      </c>
      <c r="G284" s="1599">
        <v>0</v>
      </c>
      <c r="H284" s="1599">
        <f>-H276</f>
        <v>1674040</v>
      </c>
      <c r="I284" s="1599">
        <v>0</v>
      </c>
      <c r="J284" s="1606"/>
    </row>
    <row r="285" spans="2:10" ht="5.0999999999999996" customHeight="1">
      <c r="B285" s="1601"/>
      <c r="C285" s="1759"/>
      <c r="D285" s="1760"/>
      <c r="E285" s="1602"/>
      <c r="F285" s="1602"/>
      <c r="G285" s="1602"/>
      <c r="H285" s="1602"/>
      <c r="I285" s="1602"/>
      <c r="J285" s="1761"/>
    </row>
    <row r="286" spans="2:10">
      <c r="B286" s="1603" t="s">
        <v>1636</v>
      </c>
      <c r="C286" s="1760"/>
      <c r="D286" s="1760"/>
      <c r="E286" s="1602">
        <f>SUM(E284:E284)+E282</f>
        <v>0</v>
      </c>
      <c r="F286" s="1602">
        <f>SUM(F284:F284)+F282</f>
        <v>0</v>
      </c>
      <c r="G286" s="1602">
        <f>SUM(G284:G284)+G282</f>
        <v>0</v>
      </c>
      <c r="H286" s="1602">
        <f>SUM(H284:H284)+H282</f>
        <v>0</v>
      </c>
      <c r="I286" s="1602">
        <f>SUM(I284:I284)+I282</f>
        <v>0</v>
      </c>
      <c r="J286" s="1761"/>
    </row>
    <row r="287" spans="2:10">
      <c r="B287" s="1808"/>
      <c r="C287" s="1607"/>
      <c r="D287" s="1607"/>
      <c r="E287" s="1765"/>
      <c r="F287" s="1602"/>
      <c r="G287" s="1602"/>
      <c r="H287" s="1602"/>
      <c r="I287" s="1602"/>
      <c r="J287" s="1766"/>
    </row>
    <row r="288" spans="2:10">
      <c r="B288" s="1763" t="s">
        <v>351</v>
      </c>
      <c r="C288" s="1764"/>
      <c r="D288" s="1607"/>
      <c r="E288" s="1765"/>
      <c r="F288" s="1765"/>
      <c r="G288" s="1765"/>
      <c r="H288" s="1765"/>
      <c r="I288" s="1608">
        <v>0.10739935091898387</v>
      </c>
      <c r="J288" s="1766"/>
    </row>
    <row r="289" spans="2:10">
      <c r="B289" s="1763" t="s">
        <v>298</v>
      </c>
      <c r="C289" s="1764"/>
      <c r="D289" s="1607"/>
      <c r="E289" s="1765"/>
      <c r="F289" s="1765"/>
      <c r="G289" s="1765"/>
      <c r="H289" s="1608">
        <v>0.18101737719317576</v>
      </c>
      <c r="I289" s="1765"/>
      <c r="J289" s="1766"/>
    </row>
    <row r="290" spans="2:10">
      <c r="B290" s="1763" t="s">
        <v>1062</v>
      </c>
      <c r="C290" s="1764"/>
      <c r="D290" s="1607"/>
      <c r="E290" s="1765"/>
      <c r="F290" s="1765"/>
      <c r="G290" s="1608">
        <v>1</v>
      </c>
      <c r="H290" s="1765"/>
      <c r="I290" s="1765"/>
      <c r="J290" s="1766"/>
    </row>
    <row r="291" spans="2:10">
      <c r="B291" s="1763" t="s">
        <v>1063</v>
      </c>
      <c r="C291" s="1764"/>
      <c r="D291" s="1607"/>
      <c r="E291" s="1765"/>
      <c r="F291" s="1608">
        <v>0</v>
      </c>
      <c r="G291" s="1765"/>
      <c r="H291" s="1765"/>
      <c r="I291" s="1765"/>
      <c r="J291" s="1766"/>
    </row>
    <row r="292" spans="2:10">
      <c r="B292" s="1764" t="s">
        <v>1637</v>
      </c>
      <c r="C292" s="1764"/>
      <c r="D292" s="1607"/>
      <c r="E292" s="1765">
        <f>F292+G292+H292+I292</f>
        <v>0</v>
      </c>
      <c r="F292" s="1765">
        <f>F291*F286</f>
        <v>0</v>
      </c>
      <c r="G292" s="1765">
        <f>G286*G290</f>
        <v>0</v>
      </c>
      <c r="H292" s="1765">
        <f>H286*H289</f>
        <v>0</v>
      </c>
      <c r="I292" s="1765">
        <f>I288*I286</f>
        <v>0</v>
      </c>
      <c r="J292" s="1766"/>
    </row>
    <row r="293" spans="2:10" ht="12.75" customHeight="1">
      <c r="B293" s="1802"/>
      <c r="C293" s="1804"/>
      <c r="D293" s="1804"/>
      <c r="E293" s="1804"/>
      <c r="F293" s="1804"/>
      <c r="G293" s="1804"/>
      <c r="H293" s="1804"/>
      <c r="I293" s="1804"/>
      <c r="J293" s="1804"/>
    </row>
    <row r="294" spans="2:10" ht="12.75" customHeight="1">
      <c r="B294" s="1802"/>
      <c r="C294" s="1804"/>
      <c r="D294" s="1804"/>
      <c r="E294" s="1804"/>
      <c r="F294" s="1804"/>
      <c r="G294" s="1804"/>
      <c r="H294" s="1804"/>
      <c r="I294" s="1804"/>
      <c r="J294" s="1804"/>
    </row>
    <row r="295" spans="2:10">
      <c r="B295" s="1592" t="s">
        <v>216</v>
      </c>
      <c r="C295" s="467"/>
      <c r="D295" s="467"/>
      <c r="E295" s="1592" t="s">
        <v>217</v>
      </c>
      <c r="F295" s="1592" t="s">
        <v>1296</v>
      </c>
      <c r="G295" s="1592" t="s">
        <v>1580</v>
      </c>
      <c r="H295" s="1592" t="s">
        <v>1581</v>
      </c>
      <c r="I295" s="1592" t="s">
        <v>1582</v>
      </c>
      <c r="J295" s="1592" t="s">
        <v>1583</v>
      </c>
    </row>
    <row r="296" spans="2:10">
      <c r="B296" s="1748"/>
      <c r="C296" s="467"/>
      <c r="D296" s="467"/>
      <c r="E296" s="1592"/>
      <c r="F296" s="1592" t="s">
        <v>1619</v>
      </c>
      <c r="G296" s="1592" t="s">
        <v>345</v>
      </c>
      <c r="H296" s="1592"/>
      <c r="I296" s="1592"/>
      <c r="J296" s="467"/>
    </row>
    <row r="297" spans="2:10">
      <c r="B297" s="1781"/>
      <c r="C297" s="467"/>
      <c r="D297" s="467"/>
      <c r="E297" s="1592"/>
      <c r="F297" s="1592" t="s">
        <v>1620</v>
      </c>
      <c r="G297" s="1592" t="s">
        <v>275</v>
      </c>
      <c r="H297" s="1592" t="s">
        <v>346</v>
      </c>
      <c r="I297" s="1592" t="s">
        <v>347</v>
      </c>
      <c r="J297" s="467"/>
    </row>
    <row r="298" spans="2:10">
      <c r="B298" s="1748" t="s">
        <v>1642</v>
      </c>
      <c r="E298" s="1592" t="s">
        <v>59</v>
      </c>
      <c r="F298" s="1744" t="s">
        <v>1621</v>
      </c>
      <c r="G298" s="1592" t="s">
        <v>348</v>
      </c>
      <c r="H298" s="1592" t="s">
        <v>348</v>
      </c>
      <c r="I298" s="1592" t="s">
        <v>348</v>
      </c>
      <c r="J298" s="1592" t="s">
        <v>352</v>
      </c>
    </row>
    <row r="299" spans="2:10">
      <c r="B299" s="1598"/>
      <c r="C299" s="1770"/>
      <c r="D299" s="1772"/>
      <c r="E299" s="1599">
        <f t="shared" ref="E299" si="11">SUM(F299:I299)</f>
        <v>0</v>
      </c>
      <c r="F299" s="1599">
        <v>0</v>
      </c>
      <c r="G299" s="1599">
        <v>0</v>
      </c>
      <c r="H299" s="1599">
        <v>0</v>
      </c>
      <c r="I299" s="1599">
        <v>0</v>
      </c>
      <c r="J299" s="1613"/>
    </row>
    <row r="300" spans="2:10">
      <c r="B300" s="1598" t="s">
        <v>1476</v>
      </c>
      <c r="C300" s="1770"/>
      <c r="D300" s="1772"/>
      <c r="E300" s="1599">
        <f t="shared" ref="E300:E305" si="12">SUM(F300:I300)</f>
        <v>130337</v>
      </c>
      <c r="F300" s="1599">
        <v>0</v>
      </c>
      <c r="G300" s="1599">
        <v>0</v>
      </c>
      <c r="H300" s="1599">
        <f>130337</f>
        <v>130337</v>
      </c>
      <c r="I300" s="1599">
        <v>0</v>
      </c>
      <c r="J300" s="1613"/>
    </row>
    <row r="301" spans="2:10">
      <c r="B301" s="1598"/>
      <c r="C301" s="1770"/>
      <c r="D301" s="1772"/>
      <c r="E301" s="1599">
        <f t="shared" si="12"/>
        <v>0</v>
      </c>
      <c r="F301" s="1599">
        <v>0</v>
      </c>
      <c r="G301" s="1599">
        <v>0</v>
      </c>
      <c r="H301" s="1599">
        <v>0</v>
      </c>
      <c r="I301" s="1599">
        <v>0</v>
      </c>
      <c r="J301" s="1613"/>
    </row>
    <row r="302" spans="2:10">
      <c r="B302" s="1598"/>
      <c r="C302" s="1770"/>
      <c r="D302" s="1772"/>
      <c r="E302" s="1599">
        <f t="shared" si="12"/>
        <v>0</v>
      </c>
      <c r="F302" s="1599">
        <v>0</v>
      </c>
      <c r="G302" s="1599">
        <v>0</v>
      </c>
      <c r="H302" s="1599">
        <v>0</v>
      </c>
      <c r="I302" s="1599">
        <v>0</v>
      </c>
      <c r="J302" s="1613"/>
    </row>
    <row r="303" spans="2:10">
      <c r="B303" s="1598"/>
      <c r="C303" s="1770"/>
      <c r="D303" s="1772"/>
      <c r="E303" s="1599">
        <f t="shared" si="12"/>
        <v>0</v>
      </c>
      <c r="F303" s="1599">
        <v>0</v>
      </c>
      <c r="G303" s="1599">
        <v>0</v>
      </c>
      <c r="H303" s="1599">
        <v>0</v>
      </c>
      <c r="I303" s="1599">
        <v>0</v>
      </c>
      <c r="J303" s="1613"/>
    </row>
    <row r="304" spans="2:10">
      <c r="B304" s="1598"/>
      <c r="C304" s="1770"/>
      <c r="D304" s="1772"/>
      <c r="E304" s="1599">
        <f t="shared" si="12"/>
        <v>0</v>
      </c>
      <c r="F304" s="1599">
        <v>0</v>
      </c>
      <c r="G304" s="1599">
        <v>0</v>
      </c>
      <c r="H304" s="1599">
        <v>0</v>
      </c>
      <c r="I304" s="1599"/>
      <c r="J304" s="1613"/>
    </row>
    <row r="305" spans="1:10">
      <c r="B305" s="1598"/>
      <c r="C305" s="1770"/>
      <c r="D305" s="1772"/>
      <c r="E305" s="1599">
        <f t="shared" si="12"/>
        <v>0</v>
      </c>
      <c r="F305" s="1599">
        <v>0</v>
      </c>
      <c r="G305" s="1599">
        <v>0</v>
      </c>
      <c r="H305" s="1599">
        <v>0</v>
      </c>
      <c r="I305" s="1599"/>
      <c r="J305" s="1613"/>
    </row>
    <row r="306" spans="1:10">
      <c r="B306" s="1603" t="s">
        <v>1634</v>
      </c>
      <c r="C306" s="1809"/>
      <c r="D306" s="1760"/>
      <c r="E306" s="1602">
        <f>SUM(E299:E305)</f>
        <v>130337</v>
      </c>
      <c r="F306" s="1602">
        <f>SUM(F299:F305)</f>
        <v>0</v>
      </c>
      <c r="G306" s="1602">
        <f>SUM(G299:G305)</f>
        <v>0</v>
      </c>
      <c r="H306" s="1602">
        <f>SUM(H299:H305)</f>
        <v>130337</v>
      </c>
      <c r="I306" s="1602">
        <f>SUM(I299:I305)</f>
        <v>0</v>
      </c>
      <c r="J306" s="1761"/>
    </row>
    <row r="307" spans="1:10">
      <c r="B307" s="1778"/>
      <c r="C307" s="1611"/>
      <c r="D307" s="1611"/>
      <c r="E307" s="1765"/>
      <c r="F307" s="1602"/>
      <c r="G307" s="1602"/>
      <c r="H307" s="1602"/>
      <c r="I307" s="1602"/>
      <c r="J307" s="1766"/>
    </row>
    <row r="308" spans="1:10">
      <c r="B308" s="1779" t="s">
        <v>351</v>
      </c>
      <c r="C308" s="1780"/>
      <c r="D308" s="1607"/>
      <c r="E308" s="1765"/>
      <c r="F308" s="1765"/>
      <c r="G308" s="1765"/>
      <c r="H308" s="1765"/>
      <c r="I308" s="1608">
        <v>0.10739935091898387</v>
      </c>
      <c r="J308" s="1766"/>
    </row>
    <row r="309" spans="1:10">
      <c r="B309" s="1763" t="s">
        <v>298</v>
      </c>
      <c r="C309" s="1764"/>
      <c r="D309" s="1607"/>
      <c r="E309" s="1765"/>
      <c r="F309" s="1765"/>
      <c r="G309" s="1765"/>
      <c r="H309" s="1608">
        <v>0.18101737719317576</v>
      </c>
      <c r="I309" s="1765"/>
      <c r="J309" s="1766"/>
    </row>
    <row r="310" spans="1:10">
      <c r="B310" s="1763" t="s">
        <v>1062</v>
      </c>
      <c r="C310" s="1764"/>
      <c r="D310" s="1607"/>
      <c r="E310" s="1765"/>
      <c r="F310" s="1765"/>
      <c r="G310" s="1608">
        <v>1</v>
      </c>
      <c r="H310" s="1765"/>
      <c r="I310" s="1765"/>
      <c r="J310" s="1766"/>
    </row>
    <row r="311" spans="1:10">
      <c r="B311" s="1763" t="s">
        <v>1063</v>
      </c>
      <c r="C311" s="1764"/>
      <c r="D311" s="1607"/>
      <c r="E311" s="1765"/>
      <c r="F311" s="1608">
        <v>0</v>
      </c>
      <c r="G311" s="1765"/>
      <c r="H311" s="1765"/>
      <c r="I311" s="1765"/>
      <c r="J311" s="1766"/>
    </row>
    <row r="312" spans="1:10">
      <c r="B312" s="1767" t="s">
        <v>1639</v>
      </c>
      <c r="C312" s="1764"/>
      <c r="D312" s="1607"/>
      <c r="E312" s="1765">
        <f>F312+G312+H312+I312</f>
        <v>23593.26189122695</v>
      </c>
      <c r="F312" s="1765">
        <f>F311*F306</f>
        <v>0</v>
      </c>
      <c r="G312" s="1765">
        <f>G306*G310</f>
        <v>0</v>
      </c>
      <c r="H312" s="1765">
        <f>H306*H309</f>
        <v>23593.26189122695</v>
      </c>
      <c r="I312" s="1765">
        <f>I308*I306</f>
        <v>0</v>
      </c>
      <c r="J312" s="1766"/>
    </row>
    <row r="313" spans="1:10" ht="5.0999999999999996" customHeight="1">
      <c r="G313" s="1595"/>
    </row>
    <row r="315" spans="1:10" s="1469" customFormat="1" ht="15.75">
      <c r="A315" s="1614" t="s">
        <v>598</v>
      </c>
      <c r="B315" s="1615"/>
      <c r="C315" s="1615"/>
      <c r="D315" s="324"/>
      <c r="E315" s="324"/>
      <c r="F315" s="757"/>
      <c r="G315" s="324"/>
      <c r="H315" s="324"/>
      <c r="I315" s="324"/>
      <c r="J315" s="324"/>
    </row>
  </sheetData>
  <mergeCells count="12">
    <mergeCell ref="B265:I266"/>
    <mergeCell ref="A1:K1"/>
    <mergeCell ref="A2:K2"/>
    <mergeCell ref="A3:K3"/>
    <mergeCell ref="B6:J6"/>
    <mergeCell ref="B24:I26"/>
    <mergeCell ref="B28:I30"/>
    <mergeCell ref="B115:I115"/>
    <mergeCell ref="B119:I120"/>
    <mergeCell ref="B185:I185"/>
    <mergeCell ref="B189:I190"/>
    <mergeCell ref="B261:I261"/>
  </mergeCells>
  <pageMargins left="0.7" right="0.7" top="0.75" bottom="0.75" header="0.3" footer="0.3"/>
  <pageSetup scale="32" orientation="landscape" r:id="rId1"/>
  <rowBreaks count="2" manualBreakCount="2">
    <brk id="103" max="16383" man="1"/>
    <brk id="22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D405-884C-45A0-B3AB-556183DBAD51}">
  <dimension ref="A1:S267"/>
  <sheetViews>
    <sheetView topLeftCell="A214" zoomScale="60" zoomScaleNormal="60" workbookViewId="0">
      <selection activeCell="P178" sqref="P178"/>
    </sheetView>
  </sheetViews>
  <sheetFormatPr defaultRowHeight="12.75"/>
  <cols>
    <col min="1" max="1" width="5.7109375" style="1199" customWidth="1"/>
    <col min="2" max="2" width="11" style="1554" customWidth="1"/>
    <col min="3" max="3" width="5.7109375" style="1199" customWidth="1"/>
    <col min="4" max="4" width="32.140625" style="1199" customWidth="1"/>
    <col min="5" max="5" width="14.42578125" style="1199" customWidth="1"/>
    <col min="6" max="6" width="21.85546875" style="1199" customWidth="1"/>
    <col min="7" max="7" width="15.140625" style="1199" customWidth="1"/>
    <col min="8" max="8" width="20.85546875" style="1199" bestFit="1" customWidth="1"/>
    <col min="9" max="9" width="3.85546875" style="1199" customWidth="1"/>
    <col min="10" max="10" width="27.42578125" style="1199" customWidth="1"/>
    <col min="11" max="11" width="21.85546875" style="1199" customWidth="1"/>
    <col min="12" max="12" width="25.140625" style="1199" customWidth="1"/>
    <col min="13" max="13" width="3.85546875" style="1199" customWidth="1"/>
    <col min="14" max="14" width="19.7109375" style="1199" customWidth="1"/>
    <col min="15" max="15" width="25.42578125" style="1199" customWidth="1"/>
    <col min="16" max="16" width="24.7109375" style="1199" customWidth="1"/>
    <col min="17" max="17" width="25" style="1199" customWidth="1"/>
    <col min="18" max="18" width="26.5703125" style="1199" customWidth="1"/>
    <col min="19" max="19" width="3.85546875" style="1199" customWidth="1"/>
    <col min="20" max="16384" width="9.140625" style="1199"/>
  </cols>
  <sheetData>
    <row r="1" spans="1:19" ht="15.75">
      <c r="A1" s="1870" t="s">
        <v>344</v>
      </c>
      <c r="B1" s="1870"/>
      <c r="C1" s="1870"/>
      <c r="D1" s="1870"/>
      <c r="E1" s="1870"/>
      <c r="F1" s="1870"/>
      <c r="G1" s="1870"/>
      <c r="H1" s="1870"/>
      <c r="I1" s="1870"/>
      <c r="J1" s="1870"/>
      <c r="K1" s="1870"/>
      <c r="L1" s="1870"/>
      <c r="M1" s="1870"/>
      <c r="N1" s="1870"/>
      <c r="O1" s="1870"/>
      <c r="P1" s="1870"/>
      <c r="Q1" s="1870"/>
      <c r="R1" s="1870"/>
      <c r="S1" s="1551"/>
    </row>
    <row r="2" spans="1:19" ht="15.75">
      <c r="A2" s="1870" t="s">
        <v>1643</v>
      </c>
      <c r="B2" s="1870"/>
      <c r="C2" s="1870"/>
      <c r="D2" s="1870"/>
      <c r="E2" s="1870"/>
      <c r="F2" s="1870"/>
      <c r="G2" s="1870"/>
      <c r="H2" s="1870"/>
      <c r="I2" s="1870"/>
      <c r="J2" s="1870"/>
      <c r="K2" s="1870"/>
      <c r="L2" s="1870"/>
      <c r="M2" s="1870"/>
      <c r="N2" s="1870"/>
      <c r="O2" s="1870"/>
      <c r="P2" s="1870"/>
      <c r="Q2" s="1870"/>
      <c r="R2" s="1870"/>
      <c r="S2" s="1551"/>
    </row>
    <row r="3" spans="1:19" ht="15.75">
      <c r="A3" s="1870" t="s">
        <v>1644</v>
      </c>
      <c r="B3" s="1870"/>
      <c r="C3" s="1870"/>
      <c r="D3" s="1870"/>
      <c r="E3" s="1870"/>
      <c r="F3" s="1870"/>
      <c r="G3" s="1870"/>
      <c r="H3" s="1870"/>
      <c r="I3" s="1870"/>
      <c r="J3" s="1870"/>
      <c r="K3" s="1870"/>
      <c r="L3" s="1870"/>
      <c r="M3" s="1870"/>
      <c r="N3" s="1870"/>
      <c r="O3" s="1870"/>
      <c r="P3" s="1870"/>
      <c r="Q3" s="1870"/>
      <c r="R3" s="1870"/>
      <c r="S3" s="1551"/>
    </row>
    <row r="4" spans="1:19" ht="15.75">
      <c r="A4" s="1101"/>
      <c r="B4" s="1733"/>
      <c r="C4" s="1101"/>
      <c r="D4" s="1100"/>
      <c r="E4" s="1100"/>
      <c r="F4" s="1100"/>
      <c r="G4" s="1100"/>
      <c r="H4" s="1100"/>
      <c r="I4" s="1100"/>
      <c r="J4" s="1100"/>
      <c r="K4" s="1100"/>
      <c r="L4" s="1100"/>
      <c r="M4" s="1100"/>
      <c r="N4" s="1100"/>
      <c r="O4" s="1100"/>
      <c r="P4" s="1100"/>
      <c r="Q4" s="1100"/>
      <c r="R4" s="1100"/>
    </row>
    <row r="5" spans="1:19" ht="15">
      <c r="A5" s="1100"/>
      <c r="B5" s="1553"/>
      <c r="C5" s="1100"/>
      <c r="D5" s="1100" t="s">
        <v>1039</v>
      </c>
      <c r="E5" s="1102" t="s">
        <v>1996</v>
      </c>
      <c r="F5" s="1103"/>
      <c r="G5" s="1103"/>
      <c r="H5" s="1103"/>
      <c r="I5" s="1100"/>
      <c r="J5" s="1100"/>
      <c r="K5" s="1100"/>
      <c r="L5" s="1100"/>
      <c r="M5" s="1100"/>
      <c r="N5" s="1100"/>
      <c r="O5" s="1100"/>
      <c r="P5" s="1100"/>
      <c r="Q5" s="1100"/>
      <c r="R5" s="1100"/>
    </row>
    <row r="6" spans="1:19">
      <c r="D6" s="1551"/>
    </row>
    <row r="7" spans="1:19" ht="15.75" customHeight="1">
      <c r="B7" s="1880" t="s">
        <v>1645</v>
      </c>
      <c r="C7" s="1880"/>
      <c r="D7" s="1880"/>
      <c r="E7" s="1880"/>
      <c r="F7" s="1880"/>
      <c r="G7" s="1880"/>
      <c r="H7" s="1880"/>
      <c r="I7" s="1880"/>
      <c r="J7" s="1880"/>
      <c r="K7" s="1880"/>
      <c r="L7" s="1880"/>
      <c r="M7" s="1880"/>
      <c r="N7" s="1880"/>
      <c r="O7" s="1880"/>
      <c r="P7" s="1880"/>
      <c r="Q7" s="1880"/>
      <c r="R7" s="1880"/>
    </row>
    <row r="8" spans="1:19">
      <c r="D8" s="1551"/>
    </row>
    <row r="9" spans="1:19">
      <c r="D9" s="1551" t="s">
        <v>1646</v>
      </c>
      <c r="J9" s="1862"/>
      <c r="K9" s="1862"/>
      <c r="L9" s="1862"/>
      <c r="N9" s="1862"/>
      <c r="O9" s="1862"/>
      <c r="P9" s="1862"/>
      <c r="Q9" s="1862"/>
      <c r="R9" s="1862"/>
    </row>
    <row r="10" spans="1:19">
      <c r="D10" s="1863" t="s">
        <v>1041</v>
      </c>
      <c r="E10" s="1864"/>
      <c r="F10" s="1864"/>
      <c r="G10" s="1864"/>
      <c r="H10" s="1865"/>
      <c r="I10" s="1555"/>
      <c r="J10" s="1866" t="s">
        <v>1647</v>
      </c>
      <c r="K10" s="1867"/>
      <c r="L10" s="1868"/>
      <c r="M10" s="1555"/>
      <c r="N10" s="1866" t="s">
        <v>1648</v>
      </c>
      <c r="O10" s="1867"/>
      <c r="P10" s="1867"/>
      <c r="Q10" s="1867"/>
      <c r="R10" s="1868"/>
      <c r="S10" s="1555"/>
    </row>
    <row r="11" spans="1:19">
      <c r="D11" s="1556" t="s">
        <v>216</v>
      </c>
      <c r="E11" s="1556" t="s">
        <v>217</v>
      </c>
      <c r="F11" s="1556" t="s">
        <v>1579</v>
      </c>
      <c r="G11" s="1556" t="s">
        <v>1580</v>
      </c>
      <c r="H11" s="1556" t="s">
        <v>1581</v>
      </c>
      <c r="I11" s="1555"/>
      <c r="J11" s="1556" t="s">
        <v>1582</v>
      </c>
      <c r="K11" s="1556" t="s">
        <v>1583</v>
      </c>
      <c r="L11" s="1556" t="s">
        <v>1584</v>
      </c>
      <c r="M11" s="1555"/>
      <c r="N11" s="1556" t="s">
        <v>1585</v>
      </c>
      <c r="O11" s="1556" t="s">
        <v>1586</v>
      </c>
      <c r="P11" s="1556" t="s">
        <v>1587</v>
      </c>
      <c r="Q11" s="1556" t="s">
        <v>1588</v>
      </c>
      <c r="R11" s="1556" t="s">
        <v>1589</v>
      </c>
      <c r="S11" s="1555"/>
    </row>
    <row r="12" spans="1:19" ht="63" customHeight="1">
      <c r="B12" s="1557" t="s">
        <v>1590</v>
      </c>
      <c r="D12" s="1558" t="s">
        <v>211</v>
      </c>
      <c r="E12" s="1558" t="s">
        <v>1042</v>
      </c>
      <c r="F12" s="1558" t="s">
        <v>1136</v>
      </c>
      <c r="G12" s="1558" t="s">
        <v>1135</v>
      </c>
      <c r="H12" s="1558" t="s">
        <v>1591</v>
      </c>
      <c r="I12" s="1736"/>
      <c r="J12" s="1558" t="s">
        <v>1045</v>
      </c>
      <c r="K12" s="1558" t="s">
        <v>1592</v>
      </c>
      <c r="L12" s="1558" t="s">
        <v>1593</v>
      </c>
      <c r="M12" s="1736"/>
      <c r="N12" s="1558" t="s">
        <v>1134</v>
      </c>
      <c r="O12" s="1558" t="s">
        <v>1594</v>
      </c>
      <c r="P12" s="1558" t="s">
        <v>1595</v>
      </c>
      <c r="Q12" s="1558" t="s">
        <v>1596</v>
      </c>
      <c r="R12" s="1558" t="s">
        <v>1597</v>
      </c>
      <c r="S12" s="1736"/>
    </row>
    <row r="13" spans="1:19">
      <c r="E13" s="1736"/>
      <c r="F13" s="1736"/>
      <c r="G13" s="1736"/>
      <c r="H13" s="1736"/>
      <c r="I13" s="1736"/>
      <c r="J13" s="1736"/>
      <c r="K13" s="1736"/>
      <c r="L13" s="1736"/>
      <c r="M13" s="1736"/>
      <c r="N13" s="1736"/>
      <c r="O13" s="1736"/>
      <c r="P13" s="1736"/>
      <c r="Q13" s="1736"/>
      <c r="R13" s="1736"/>
      <c r="S13" s="1736"/>
    </row>
    <row r="14" spans="1:19">
      <c r="B14" s="1554">
        <v>1</v>
      </c>
      <c r="D14" s="1199" t="s">
        <v>1649</v>
      </c>
      <c r="E14" s="1736"/>
      <c r="F14" s="1736"/>
      <c r="G14" s="1736"/>
      <c r="H14" s="1736"/>
      <c r="I14" s="1736"/>
      <c r="J14" s="1559" t="s">
        <v>1899</v>
      </c>
      <c r="K14" s="1736"/>
      <c r="L14" s="1559">
        <f>'1E - ADIT Amortization'!M34</f>
        <v>1000863.0827697578</v>
      </c>
      <c r="M14" s="1736"/>
      <c r="N14" s="1559" t="s">
        <v>1899</v>
      </c>
      <c r="O14" s="1736"/>
      <c r="P14" s="1736"/>
      <c r="Q14" s="1736"/>
      <c r="R14" s="1559">
        <f>'1E - ADIT Amortization'!M34</f>
        <v>1000863.0827697578</v>
      </c>
      <c r="S14" s="1736"/>
    </row>
    <row r="15" spans="1:19">
      <c r="E15" s="1736"/>
      <c r="F15" s="1736"/>
      <c r="G15" s="1736"/>
      <c r="H15" s="1736"/>
      <c r="I15" s="1736"/>
      <c r="J15" s="1736"/>
      <c r="K15" s="1736"/>
      <c r="L15" s="1736"/>
      <c r="M15" s="1736"/>
      <c r="N15" s="1736"/>
      <c r="O15" s="1736"/>
      <c r="P15" s="1736"/>
      <c r="Q15" s="1736"/>
      <c r="R15" s="1736"/>
      <c r="S15" s="1736"/>
    </row>
    <row r="16" spans="1:19">
      <c r="B16" s="1554">
        <f>B14+1</f>
        <v>2</v>
      </c>
      <c r="D16" s="1560" t="s">
        <v>636</v>
      </c>
      <c r="E16" s="1559">
        <v>31</v>
      </c>
      <c r="F16" s="1561">
        <v>0</v>
      </c>
      <c r="G16" s="1561">
        <v>214</v>
      </c>
      <c r="H16" s="1562">
        <f t="shared" ref="H16:H27" si="0">IF(F16=0,0.5,F16/G16)</f>
        <v>0.5</v>
      </c>
      <c r="I16" s="1563"/>
      <c r="J16" s="1559">
        <v>0</v>
      </c>
      <c r="K16" s="1564">
        <f t="shared" ref="K16:K27" si="1">+J16*H16</f>
        <v>0</v>
      </c>
      <c r="L16" s="1564">
        <f>+K16+L14</f>
        <v>1000863.0827697578</v>
      </c>
      <c r="M16" s="1563"/>
      <c r="N16" s="1559">
        <v>0</v>
      </c>
      <c r="O16" s="1564">
        <f>IF($D$237="True-Up Adjustment",N16-J16,0)</f>
        <v>0</v>
      </c>
      <c r="P16" s="1564">
        <f>IF($D$237="True-Up Adjustment",IF(AND(J16&gt;=0,N16&gt;=0),IF(O16&gt;=0,K16+O16,N16/J16*K16),IF(AND(J16&lt;0,N16&lt;0),IF(O16&lt;0,K16+O16,N16/J16*K16),0)),0)</f>
        <v>0</v>
      </c>
      <c r="Q16" s="1564">
        <f t="shared" ref="Q16:Q27" si="2">IF(AND(J16&gt;=0,N16&lt;0),N16,IF(AND(J16&lt;0,N16&gt;=0),N16,0))</f>
        <v>0</v>
      </c>
      <c r="R16" s="1564">
        <f>+Q16+R14</f>
        <v>1000863.0827697578</v>
      </c>
      <c r="S16" s="1563"/>
    </row>
    <row r="17" spans="2:19">
      <c r="B17" s="1554">
        <f t="shared" ref="B17:B28" si="3">+B16+1</f>
        <v>3</v>
      </c>
      <c r="D17" s="1560" t="s">
        <v>637</v>
      </c>
      <c r="E17" s="1559">
        <v>28</v>
      </c>
      <c r="F17" s="1561">
        <v>0</v>
      </c>
      <c r="G17" s="1561">
        <f t="shared" ref="G17:G27" si="4">G16</f>
        <v>214</v>
      </c>
      <c r="H17" s="1562">
        <f t="shared" si="0"/>
        <v>0.5</v>
      </c>
      <c r="I17" s="1563"/>
      <c r="J17" s="1559">
        <v>0</v>
      </c>
      <c r="K17" s="1564">
        <f t="shared" si="1"/>
        <v>0</v>
      </c>
      <c r="L17" s="1564">
        <f t="shared" ref="L17:L27" si="5">+K17+L16</f>
        <v>1000863.0827697578</v>
      </c>
      <c r="M17" s="1563"/>
      <c r="N17" s="1559">
        <v>0</v>
      </c>
      <c r="O17" s="1564">
        <f t="shared" ref="O17:O27" si="6">IF($D$237="True-Up Adjustment",N17-J17,0)</f>
        <v>0</v>
      </c>
      <c r="P17" s="1564">
        <f t="shared" ref="P17:P27" si="7">IF($D$237="True-Up Adjustment",IF(AND(J17&gt;=0,N17&gt;=0),IF(O17&gt;=0,K17+O17,N17/J17*K17),IF(AND(J17&lt;0,N17&lt;0),IF(O17&lt;0,K17+O17,N17/J17*K17),0)),0)</f>
        <v>0</v>
      </c>
      <c r="Q17" s="1564">
        <f t="shared" si="2"/>
        <v>0</v>
      </c>
      <c r="R17" s="1564">
        <f t="shared" ref="R17:R27" si="8">R16+P17+Q17</f>
        <v>1000863.0827697578</v>
      </c>
      <c r="S17" s="1563"/>
    </row>
    <row r="18" spans="2:19">
      <c r="B18" s="1554">
        <f t="shared" si="3"/>
        <v>4</v>
      </c>
      <c r="D18" s="1560" t="s">
        <v>664</v>
      </c>
      <c r="E18" s="1559">
        <v>31</v>
      </c>
      <c r="F18" s="1561">
        <v>0</v>
      </c>
      <c r="G18" s="1561">
        <f t="shared" si="4"/>
        <v>214</v>
      </c>
      <c r="H18" s="1562">
        <f t="shared" si="0"/>
        <v>0.5</v>
      </c>
      <c r="I18" s="1563"/>
      <c r="J18" s="1559">
        <v>0</v>
      </c>
      <c r="K18" s="1564">
        <f t="shared" si="1"/>
        <v>0</v>
      </c>
      <c r="L18" s="1564">
        <f t="shared" si="5"/>
        <v>1000863.0827697578</v>
      </c>
      <c r="M18" s="1563"/>
      <c r="N18" s="1559">
        <v>0</v>
      </c>
      <c r="O18" s="1564">
        <f t="shared" si="6"/>
        <v>0</v>
      </c>
      <c r="P18" s="1564">
        <f t="shared" si="7"/>
        <v>0</v>
      </c>
      <c r="Q18" s="1564">
        <f t="shared" si="2"/>
        <v>0</v>
      </c>
      <c r="R18" s="1564">
        <f t="shared" si="8"/>
        <v>1000863.0827697578</v>
      </c>
      <c r="S18" s="1563"/>
    </row>
    <row r="19" spans="2:19">
      <c r="B19" s="1554">
        <f t="shared" si="3"/>
        <v>5</v>
      </c>
      <c r="D19" s="1560" t="s">
        <v>213</v>
      </c>
      <c r="E19" s="1559">
        <v>30</v>
      </c>
      <c r="F19" s="1561">
        <v>0</v>
      </c>
      <c r="G19" s="1561">
        <f t="shared" si="4"/>
        <v>214</v>
      </c>
      <c r="H19" s="1562">
        <f t="shared" si="0"/>
        <v>0.5</v>
      </c>
      <c r="I19" s="1563"/>
      <c r="J19" s="1559">
        <v>0</v>
      </c>
      <c r="K19" s="1564">
        <f t="shared" si="1"/>
        <v>0</v>
      </c>
      <c r="L19" s="1564">
        <f t="shared" si="5"/>
        <v>1000863.0827697578</v>
      </c>
      <c r="M19" s="1563"/>
      <c r="N19" s="1559">
        <v>0</v>
      </c>
      <c r="O19" s="1564">
        <f t="shared" si="6"/>
        <v>0</v>
      </c>
      <c r="P19" s="1564">
        <f t="shared" si="7"/>
        <v>0</v>
      </c>
      <c r="Q19" s="1564">
        <f t="shared" si="2"/>
        <v>0</v>
      </c>
      <c r="R19" s="1564">
        <f t="shared" si="8"/>
        <v>1000863.0827697578</v>
      </c>
      <c r="S19" s="1563"/>
    </row>
    <row r="20" spans="2:19">
      <c r="B20" s="1554">
        <f t="shared" si="3"/>
        <v>6</v>
      </c>
      <c r="D20" s="1560" t="s">
        <v>214</v>
      </c>
      <c r="E20" s="1559">
        <v>31</v>
      </c>
      <c r="F20" s="1561">
        <v>0</v>
      </c>
      <c r="G20" s="1561">
        <f t="shared" si="4"/>
        <v>214</v>
      </c>
      <c r="H20" s="1562">
        <f t="shared" si="0"/>
        <v>0.5</v>
      </c>
      <c r="I20" s="1563"/>
      <c r="J20" s="1559">
        <v>0</v>
      </c>
      <c r="K20" s="1564">
        <f t="shared" si="1"/>
        <v>0</v>
      </c>
      <c r="L20" s="1564">
        <f t="shared" si="5"/>
        <v>1000863.0827697578</v>
      </c>
      <c r="M20" s="1563"/>
      <c r="N20" s="1559">
        <v>0</v>
      </c>
      <c r="O20" s="1564">
        <f t="shared" si="6"/>
        <v>0</v>
      </c>
      <c r="P20" s="1564">
        <f t="shared" si="7"/>
        <v>0</v>
      </c>
      <c r="Q20" s="1564">
        <f t="shared" si="2"/>
        <v>0</v>
      </c>
      <c r="R20" s="1564">
        <f t="shared" si="8"/>
        <v>1000863.0827697578</v>
      </c>
      <c r="S20" s="1563"/>
    </row>
    <row r="21" spans="2:19">
      <c r="B21" s="1554">
        <f t="shared" si="3"/>
        <v>7</v>
      </c>
      <c r="D21" s="1560" t="s">
        <v>215</v>
      </c>
      <c r="E21" s="1559">
        <v>30</v>
      </c>
      <c r="F21" s="1561">
        <f t="shared" ref="F21:F26" si="9">E22+F22</f>
        <v>185</v>
      </c>
      <c r="G21" s="1561">
        <f t="shared" si="4"/>
        <v>214</v>
      </c>
      <c r="H21" s="1562">
        <f t="shared" si="0"/>
        <v>0.86448598130841126</v>
      </c>
      <c r="I21" s="1563"/>
      <c r="J21" s="1559">
        <v>0</v>
      </c>
      <c r="K21" s="1564">
        <f t="shared" si="1"/>
        <v>0</v>
      </c>
      <c r="L21" s="1564">
        <f t="shared" si="5"/>
        <v>1000863.0827697578</v>
      </c>
      <c r="M21" s="1563"/>
      <c r="N21" s="1559">
        <v>0</v>
      </c>
      <c r="O21" s="1564">
        <f t="shared" si="6"/>
        <v>0</v>
      </c>
      <c r="P21" s="1564">
        <f t="shared" si="7"/>
        <v>0</v>
      </c>
      <c r="Q21" s="1564">
        <f t="shared" si="2"/>
        <v>0</v>
      </c>
      <c r="R21" s="1564">
        <f t="shared" si="8"/>
        <v>1000863.0827697578</v>
      </c>
      <c r="S21" s="1563"/>
    </row>
    <row r="22" spans="2:19">
      <c r="B22" s="1554">
        <f t="shared" si="3"/>
        <v>8</v>
      </c>
      <c r="D22" s="1560" t="s">
        <v>639</v>
      </c>
      <c r="E22" s="1559">
        <v>31</v>
      </c>
      <c r="F22" s="1561">
        <f t="shared" si="9"/>
        <v>154</v>
      </c>
      <c r="G22" s="1561">
        <f t="shared" si="4"/>
        <v>214</v>
      </c>
      <c r="H22" s="1562">
        <f t="shared" si="0"/>
        <v>0.71962616822429903</v>
      </c>
      <c r="I22" s="1563"/>
      <c r="J22" s="1559">
        <v>0</v>
      </c>
      <c r="K22" s="1564">
        <f t="shared" si="1"/>
        <v>0</v>
      </c>
      <c r="L22" s="1564">
        <f t="shared" si="5"/>
        <v>1000863.0827697578</v>
      </c>
      <c r="M22" s="1563"/>
      <c r="N22" s="1559">
        <v>0</v>
      </c>
      <c r="O22" s="1564">
        <f t="shared" si="6"/>
        <v>0</v>
      </c>
      <c r="P22" s="1564">
        <f t="shared" si="7"/>
        <v>0</v>
      </c>
      <c r="Q22" s="1564">
        <f t="shared" si="2"/>
        <v>0</v>
      </c>
      <c r="R22" s="1564">
        <f t="shared" si="8"/>
        <v>1000863.0827697578</v>
      </c>
      <c r="S22" s="1563"/>
    </row>
    <row r="23" spans="2:19">
      <c r="B23" s="1554">
        <f t="shared" si="3"/>
        <v>9</v>
      </c>
      <c r="D23" s="1560" t="s">
        <v>665</v>
      </c>
      <c r="E23" s="1559">
        <v>31</v>
      </c>
      <c r="F23" s="1561">
        <f t="shared" si="9"/>
        <v>123</v>
      </c>
      <c r="G23" s="1561">
        <f t="shared" si="4"/>
        <v>214</v>
      </c>
      <c r="H23" s="1562">
        <f t="shared" si="0"/>
        <v>0.57476635514018692</v>
      </c>
      <c r="I23" s="1563"/>
      <c r="J23" s="1559">
        <v>0</v>
      </c>
      <c r="K23" s="1564">
        <f t="shared" si="1"/>
        <v>0</v>
      </c>
      <c r="L23" s="1564">
        <f t="shared" si="5"/>
        <v>1000863.0827697578</v>
      </c>
      <c r="M23" s="1563"/>
      <c r="N23" s="1559">
        <v>0</v>
      </c>
      <c r="O23" s="1564">
        <f t="shared" si="6"/>
        <v>0</v>
      </c>
      <c r="P23" s="1564">
        <f t="shared" si="7"/>
        <v>0</v>
      </c>
      <c r="Q23" s="1564">
        <f t="shared" si="2"/>
        <v>0</v>
      </c>
      <c r="R23" s="1564">
        <f t="shared" si="8"/>
        <v>1000863.0827697578</v>
      </c>
      <c r="S23" s="1563"/>
    </row>
    <row r="24" spans="2:19">
      <c r="B24" s="1554">
        <f t="shared" si="3"/>
        <v>10</v>
      </c>
      <c r="D24" s="1560" t="s">
        <v>641</v>
      </c>
      <c r="E24" s="1559">
        <v>30</v>
      </c>
      <c r="F24" s="1561">
        <f t="shared" si="9"/>
        <v>93</v>
      </c>
      <c r="G24" s="1561">
        <f t="shared" si="4"/>
        <v>214</v>
      </c>
      <c r="H24" s="1562">
        <f t="shared" si="0"/>
        <v>0.43457943925233644</v>
      </c>
      <c r="I24" s="1563"/>
      <c r="J24" s="1559">
        <v>0</v>
      </c>
      <c r="K24" s="1564">
        <f>+J24*H24</f>
        <v>0</v>
      </c>
      <c r="L24" s="1564">
        <f t="shared" si="5"/>
        <v>1000863.0827697578</v>
      </c>
      <c r="M24" s="1563"/>
      <c r="N24" s="1559">
        <v>0</v>
      </c>
      <c r="O24" s="1564">
        <f t="shared" si="6"/>
        <v>0</v>
      </c>
      <c r="P24" s="1564">
        <f t="shared" si="7"/>
        <v>0</v>
      </c>
      <c r="Q24" s="1564">
        <f t="shared" si="2"/>
        <v>0</v>
      </c>
      <c r="R24" s="1564">
        <f t="shared" si="8"/>
        <v>1000863.0827697578</v>
      </c>
      <c r="S24" s="1563"/>
    </row>
    <row r="25" spans="2:19">
      <c r="B25" s="1554">
        <f t="shared" si="3"/>
        <v>11</v>
      </c>
      <c r="D25" s="1560" t="s">
        <v>642</v>
      </c>
      <c r="E25" s="1559">
        <v>31</v>
      </c>
      <c r="F25" s="1561">
        <f t="shared" si="9"/>
        <v>62</v>
      </c>
      <c r="G25" s="1561">
        <f t="shared" si="4"/>
        <v>214</v>
      </c>
      <c r="H25" s="1562">
        <f t="shared" si="0"/>
        <v>0.28971962616822428</v>
      </c>
      <c r="I25" s="1563"/>
      <c r="J25" s="1559">
        <v>0</v>
      </c>
      <c r="K25" s="1564">
        <f t="shared" si="1"/>
        <v>0</v>
      </c>
      <c r="L25" s="1564">
        <f t="shared" si="5"/>
        <v>1000863.0827697578</v>
      </c>
      <c r="M25" s="1563"/>
      <c r="N25" s="1559">
        <v>0</v>
      </c>
      <c r="O25" s="1564">
        <f t="shared" si="6"/>
        <v>0</v>
      </c>
      <c r="P25" s="1564">
        <f t="shared" si="7"/>
        <v>0</v>
      </c>
      <c r="Q25" s="1564">
        <f t="shared" si="2"/>
        <v>0</v>
      </c>
      <c r="R25" s="1564">
        <f t="shared" si="8"/>
        <v>1000863.0827697578</v>
      </c>
      <c r="S25" s="1563"/>
    </row>
    <row r="26" spans="2:19">
      <c r="B26" s="1554">
        <f t="shared" si="3"/>
        <v>12</v>
      </c>
      <c r="D26" s="1560" t="s">
        <v>643</v>
      </c>
      <c r="E26" s="1559">
        <v>30</v>
      </c>
      <c r="F26" s="1561">
        <f t="shared" si="9"/>
        <v>32</v>
      </c>
      <c r="G26" s="1561">
        <f t="shared" si="4"/>
        <v>214</v>
      </c>
      <c r="H26" s="1562">
        <f t="shared" si="0"/>
        <v>0.14953271028037382</v>
      </c>
      <c r="I26" s="1563"/>
      <c r="J26" s="1559">
        <v>0</v>
      </c>
      <c r="K26" s="1564">
        <f t="shared" si="1"/>
        <v>0</v>
      </c>
      <c r="L26" s="1564">
        <f t="shared" si="5"/>
        <v>1000863.0827697578</v>
      </c>
      <c r="M26" s="1563"/>
      <c r="N26" s="1559">
        <v>0</v>
      </c>
      <c r="O26" s="1564">
        <f t="shared" si="6"/>
        <v>0</v>
      </c>
      <c r="P26" s="1564">
        <f t="shared" si="7"/>
        <v>0</v>
      </c>
      <c r="Q26" s="1564">
        <f t="shared" si="2"/>
        <v>0</v>
      </c>
      <c r="R26" s="1564">
        <f t="shared" si="8"/>
        <v>1000863.0827697578</v>
      </c>
      <c r="S26" s="1563"/>
    </row>
    <row r="27" spans="2:19">
      <c r="B27" s="1554">
        <f t="shared" si="3"/>
        <v>13</v>
      </c>
      <c r="D27" s="1565" t="s">
        <v>869</v>
      </c>
      <c r="E27" s="1559">
        <v>31</v>
      </c>
      <c r="F27" s="1566">
        <v>1</v>
      </c>
      <c r="G27" s="1561">
        <f t="shared" si="4"/>
        <v>214</v>
      </c>
      <c r="H27" s="1562">
        <f t="shared" si="0"/>
        <v>4.6728971962616819E-3</v>
      </c>
      <c r="I27" s="1563"/>
      <c r="J27" s="1559">
        <v>0</v>
      </c>
      <c r="K27" s="1564">
        <f t="shared" si="1"/>
        <v>0</v>
      </c>
      <c r="L27" s="1564">
        <f t="shared" si="5"/>
        <v>1000863.0827697578</v>
      </c>
      <c r="M27" s="1563"/>
      <c r="N27" s="1559">
        <v>0</v>
      </c>
      <c r="O27" s="1564">
        <f t="shared" si="6"/>
        <v>0</v>
      </c>
      <c r="P27" s="1564">
        <f t="shared" si="7"/>
        <v>0</v>
      </c>
      <c r="Q27" s="1564">
        <f t="shared" si="2"/>
        <v>0</v>
      </c>
      <c r="R27" s="1564">
        <f t="shared" si="8"/>
        <v>1000863.0827697578</v>
      </c>
      <c r="S27" s="1563"/>
    </row>
    <row r="28" spans="2:19">
      <c r="B28" s="1554">
        <f t="shared" si="3"/>
        <v>14</v>
      </c>
      <c r="D28" s="1567" t="str">
        <f>"Total (Sum of Lines "&amp;B16&amp;" - "&amp;B27&amp;")"</f>
        <v>Total (Sum of Lines 2 - 13)</v>
      </c>
      <c r="E28" s="1568">
        <f>SUM(E16:E27)</f>
        <v>365</v>
      </c>
      <c r="F28" s="1569"/>
      <c r="G28" s="1569"/>
      <c r="H28" s="1570"/>
      <c r="I28" s="1571"/>
      <c r="J28" s="1568">
        <f>SUM(J16:J27)</f>
        <v>0</v>
      </c>
      <c r="K28" s="1568">
        <f>SUM(K16:K27)</f>
        <v>0</v>
      </c>
      <c r="L28" s="1572"/>
      <c r="M28" s="1571"/>
      <c r="N28" s="1568">
        <f>SUM(N16:N27)</f>
        <v>0</v>
      </c>
      <c r="O28" s="1568">
        <f>SUM(O16:O27)</f>
        <v>0</v>
      </c>
      <c r="P28" s="1568">
        <f>SUM(P16:P27)</f>
        <v>0</v>
      </c>
      <c r="Q28" s="1568">
        <f>SUM(Q16:Q27)</f>
        <v>0</v>
      </c>
      <c r="R28" s="1572"/>
      <c r="S28" s="1571"/>
    </row>
    <row r="29" spans="2:19">
      <c r="D29" s="1573"/>
      <c r="E29" s="1573"/>
      <c r="F29" s="1573"/>
      <c r="G29" s="1573"/>
      <c r="H29" s="1574"/>
      <c r="I29" s="1574"/>
      <c r="K29" s="1575"/>
      <c r="L29" s="1574"/>
      <c r="M29" s="1574"/>
      <c r="O29" s="1575"/>
      <c r="P29" s="1575"/>
      <c r="Q29" s="1575"/>
      <c r="R29" s="1574"/>
      <c r="S29" s="1574"/>
    </row>
    <row r="30" spans="2:19">
      <c r="B30" s="1554">
        <f>B28+1</f>
        <v>15</v>
      </c>
      <c r="D30" s="1199" t="s">
        <v>1650</v>
      </c>
      <c r="I30" s="1574"/>
      <c r="J30" s="1559" t="s">
        <v>1899</v>
      </c>
      <c r="L30" s="1559">
        <f>'1E - ADIT Amortization'!M70+'1E - ADIT Amortization'!M79</f>
        <v>645536.16565880249</v>
      </c>
      <c r="M30" s="1576"/>
      <c r="N30" s="1559" t="s">
        <v>1899</v>
      </c>
      <c r="R30" s="1559">
        <f>'1E - ADIT Amortization'!M70+'1E - ADIT Amortization'!M79</f>
        <v>645536.16565880249</v>
      </c>
    </row>
    <row r="31" spans="2:19">
      <c r="B31" s="1554">
        <f>B30+1</f>
        <v>16</v>
      </c>
      <c r="D31" s="1199" t="s">
        <v>1651</v>
      </c>
      <c r="I31" s="1574"/>
      <c r="J31" s="1577" t="s">
        <v>759</v>
      </c>
      <c r="L31" s="1578">
        <v>0</v>
      </c>
      <c r="M31" s="1579"/>
      <c r="N31" s="1577"/>
      <c r="R31" s="1578">
        <v>0</v>
      </c>
    </row>
    <row r="32" spans="2:19">
      <c r="B32" s="1554">
        <f>B31+1</f>
        <v>17</v>
      </c>
      <c r="D32" s="1199" t="s">
        <v>1652</v>
      </c>
      <c r="I32" s="1574"/>
      <c r="J32" s="1567" t="str">
        <f>"(Col. "&amp;L11&amp;", Line "&amp;B30&amp;" + Line "&amp;B31&amp;")"</f>
        <v>(Col. (H), Line 15 + Line 16)</v>
      </c>
      <c r="L32" s="1580">
        <f>L30+L31</f>
        <v>645536.16565880249</v>
      </c>
      <c r="M32" s="1574"/>
      <c r="N32" s="1567" t="str">
        <f>"(Col. "&amp;R11&amp;", Line "&amp;B30&amp;" + Line "&amp;B31&amp;")"</f>
        <v>(Col. (M), Line 15 + Line 16)</v>
      </c>
      <c r="R32" s="1580">
        <f>R30+R31</f>
        <v>645536.16565880249</v>
      </c>
    </row>
    <row r="33" spans="2:19">
      <c r="I33" s="1574"/>
      <c r="L33" s="1580"/>
      <c r="M33" s="1574"/>
      <c r="R33" s="1580"/>
    </row>
    <row r="34" spans="2:19">
      <c r="B34" s="1554">
        <f>B32+1</f>
        <v>18</v>
      </c>
      <c r="D34" s="1199" t="s">
        <v>1653</v>
      </c>
      <c r="I34" s="1574"/>
      <c r="J34" s="1559" t="s">
        <v>1995</v>
      </c>
      <c r="L34" s="1559">
        <f>'1E - ADIT Amortization'!Q70+'1E - ADIT Amortization'!Q79</f>
        <v>322768.08282940125</v>
      </c>
      <c r="M34" s="1576"/>
      <c r="N34" s="1559" t="s">
        <v>1995</v>
      </c>
      <c r="R34" s="1559">
        <f>'1E - ADIT Amortization'!Q70+'1E - ADIT Amortization'!Q79</f>
        <v>322768.08282940125</v>
      </c>
    </row>
    <row r="35" spans="2:19">
      <c r="B35" s="1554">
        <f>B34+1</f>
        <v>19</v>
      </c>
      <c r="D35" s="1199" t="s">
        <v>1654</v>
      </c>
      <c r="I35" s="1574"/>
      <c r="J35" s="1577" t="s">
        <v>759</v>
      </c>
      <c r="L35" s="1578">
        <v>0</v>
      </c>
      <c r="M35" s="1574"/>
      <c r="N35" s="1577"/>
      <c r="R35" s="1578">
        <v>0</v>
      </c>
    </row>
    <row r="36" spans="2:19">
      <c r="B36" s="1554">
        <f>B35+1</f>
        <v>20</v>
      </c>
      <c r="D36" s="1199" t="s">
        <v>1655</v>
      </c>
      <c r="G36" s="1567"/>
      <c r="I36" s="1574"/>
      <c r="J36" s="1567" t="str">
        <f>"(Col. "&amp;L11&amp;", Line "&amp;B34&amp;" + Line "&amp;B35&amp;")"</f>
        <v>(Col. (H), Line 18 + Line 19)</v>
      </c>
      <c r="L36" s="1580">
        <f>L34+L35</f>
        <v>322768.08282940125</v>
      </c>
      <c r="M36" s="1574"/>
      <c r="N36" s="1567" t="str">
        <f>"(Col. "&amp;R11&amp;", Line "&amp;B34&amp;" + Line "&amp;B35&amp;")"</f>
        <v>(Col. (M), Line 18 + Line 19)</v>
      </c>
      <c r="R36" s="1580">
        <f>R34+R35</f>
        <v>322768.08282940125</v>
      </c>
    </row>
    <row r="37" spans="2:19">
      <c r="I37" s="1574"/>
      <c r="L37" s="1580"/>
      <c r="M37" s="1574"/>
      <c r="R37" s="1580"/>
    </row>
    <row r="38" spans="2:19">
      <c r="B38" s="1554">
        <f>B36+1</f>
        <v>21</v>
      </c>
      <c r="D38" s="1199" t="s">
        <v>1131</v>
      </c>
      <c r="I38" s="1574"/>
      <c r="J38" s="1567" t="str">
        <f>"([Col. "&amp;L11&amp;", Line "&amp;B32&amp;" + Line "&amp;B36&amp;"] /2)"</f>
        <v>([Col. (H), Line 17 + Line 20] /2)</v>
      </c>
      <c r="L38" s="1564">
        <f>(L32+L36)/2</f>
        <v>484152.12424410187</v>
      </c>
      <c r="M38" s="1574"/>
      <c r="N38" s="1567" t="str">
        <f>"([Col. "&amp;R11&amp;", Line "&amp;B32&amp;" + Line "&amp;B36&amp;"] /2)"</f>
        <v>([Col. (M), Line 17 + Line 20] /2)</v>
      </c>
      <c r="R38" s="1564">
        <f>(R32+R36)/2</f>
        <v>484152.12424410187</v>
      </c>
    </row>
    <row r="39" spans="2:19">
      <c r="B39" s="1554">
        <f>B38+1</f>
        <v>22</v>
      </c>
      <c r="D39" s="1616" t="s">
        <v>1656</v>
      </c>
      <c r="E39" s="1573"/>
      <c r="F39" s="1573"/>
      <c r="G39" s="1573"/>
      <c r="H39" s="1574"/>
      <c r="I39" s="1574"/>
      <c r="J39" s="1567" t="str">
        <f>"(Col. "&amp;L11&amp;", Line "&amp;B27&amp;" )"</f>
        <v>(Col. (H), Line 13 )</v>
      </c>
      <c r="K39" s="1575"/>
      <c r="L39" s="1564">
        <f>L27</f>
        <v>1000863.0827697578</v>
      </c>
      <c r="M39" s="1574"/>
      <c r="N39" s="1567" t="str">
        <f>"(Col. "&amp;R11&amp;", Line "&amp;B27&amp;" )"</f>
        <v>(Col. (M), Line 13 )</v>
      </c>
      <c r="R39" s="1564">
        <f>R27</f>
        <v>1000863.0827697578</v>
      </c>
    </row>
    <row r="40" spans="2:19" ht="13.5" thickBot="1">
      <c r="B40" s="1554">
        <f>B39+1</f>
        <v>23</v>
      </c>
      <c r="D40" s="1581" t="s">
        <v>1657</v>
      </c>
      <c r="E40" s="1573"/>
      <c r="F40" s="1573"/>
      <c r="G40" s="1573"/>
      <c r="H40" s="1574"/>
      <c r="I40" s="1574"/>
      <c r="J40" s="1567" t="str">
        <f>"(Col. "&amp;L11&amp;", Line "&amp;B38&amp;" + Line "&amp;B39&amp;")"</f>
        <v>(Col. (H), Line 21 + Line 22)</v>
      </c>
      <c r="K40" s="1575"/>
      <c r="L40" s="1582">
        <f>L38+L39</f>
        <v>1485015.2070138596</v>
      </c>
      <c r="M40" s="1574"/>
      <c r="N40" s="1567" t="str">
        <f>"(Col. "&amp;R11&amp;", Line "&amp;B38&amp;" + Line "&amp;B39&amp;")"</f>
        <v>(Col. (M), Line 21 + Line 22)</v>
      </c>
      <c r="R40" s="1582">
        <f>R38+R39</f>
        <v>1485015.2070138596</v>
      </c>
    </row>
    <row r="41" spans="2:19">
      <c r="I41" s="1574"/>
      <c r="L41" s="1564"/>
      <c r="M41" s="1574"/>
      <c r="R41" s="1564"/>
      <c r="S41" s="1574"/>
    </row>
    <row r="42" spans="2:19">
      <c r="D42" s="1551" t="s">
        <v>1658</v>
      </c>
      <c r="J42" s="1583"/>
      <c r="K42" s="1584"/>
      <c r="L42" s="1584"/>
      <c r="N42" s="1584"/>
      <c r="O42" s="1584"/>
      <c r="P42" s="1584"/>
      <c r="Q42" s="1584"/>
      <c r="R42" s="1584"/>
    </row>
    <row r="43" spans="2:19">
      <c r="D43" s="1863" t="s">
        <v>1041</v>
      </c>
      <c r="E43" s="1864"/>
      <c r="F43" s="1864"/>
      <c r="G43" s="1864"/>
      <c r="H43" s="1865"/>
      <c r="I43" s="1555"/>
      <c r="J43" s="1866" t="s">
        <v>1647</v>
      </c>
      <c r="K43" s="1867"/>
      <c r="L43" s="1868"/>
      <c r="M43" s="1555"/>
      <c r="N43" s="1866" t="s">
        <v>1648</v>
      </c>
      <c r="O43" s="1867"/>
      <c r="P43" s="1867"/>
      <c r="Q43" s="1867"/>
      <c r="R43" s="1868"/>
      <c r="S43" s="1555"/>
    </row>
    <row r="44" spans="2:19">
      <c r="D44" s="1556" t="s">
        <v>216</v>
      </c>
      <c r="E44" s="1556" t="s">
        <v>217</v>
      </c>
      <c r="F44" s="1556" t="s">
        <v>1579</v>
      </c>
      <c r="G44" s="1556" t="s">
        <v>1580</v>
      </c>
      <c r="H44" s="1556" t="s">
        <v>1581</v>
      </c>
      <c r="I44" s="1555"/>
      <c r="J44" s="1556" t="s">
        <v>1582</v>
      </c>
      <c r="K44" s="1556" t="s">
        <v>1583</v>
      </c>
      <c r="L44" s="1556" t="s">
        <v>1584</v>
      </c>
      <c r="M44" s="1555"/>
      <c r="N44" s="1556" t="s">
        <v>1585</v>
      </c>
      <c r="O44" s="1556" t="s">
        <v>1586</v>
      </c>
      <c r="P44" s="1556" t="s">
        <v>1587</v>
      </c>
      <c r="Q44" s="1556" t="s">
        <v>1588</v>
      </c>
      <c r="R44" s="1556" t="s">
        <v>1589</v>
      </c>
      <c r="S44" s="1555"/>
    </row>
    <row r="45" spans="2:19" ht="51">
      <c r="B45" s="1557" t="s">
        <v>1590</v>
      </c>
      <c r="D45" s="1558" t="s">
        <v>211</v>
      </c>
      <c r="E45" s="1558" t="s">
        <v>1042</v>
      </c>
      <c r="F45" s="1558" t="s">
        <v>1043</v>
      </c>
      <c r="G45" s="1558" t="s">
        <v>1044</v>
      </c>
      <c r="H45" s="1558" t="s">
        <v>1591</v>
      </c>
      <c r="I45" s="1736"/>
      <c r="J45" s="1558" t="s">
        <v>1045</v>
      </c>
      <c r="K45" s="1558" t="s">
        <v>1592</v>
      </c>
      <c r="L45" s="1558" t="s">
        <v>1593</v>
      </c>
      <c r="M45" s="1736"/>
      <c r="N45" s="1558" t="s">
        <v>1134</v>
      </c>
      <c r="O45" s="1558" t="s">
        <v>1594</v>
      </c>
      <c r="P45" s="1558" t="s">
        <v>1595</v>
      </c>
      <c r="Q45" s="1558" t="s">
        <v>1596</v>
      </c>
      <c r="R45" s="1558" t="s">
        <v>1597</v>
      </c>
      <c r="S45" s="1736"/>
    </row>
    <row r="46" spans="2:19">
      <c r="E46" s="1736"/>
      <c r="F46" s="1736"/>
      <c r="G46" s="1736"/>
      <c r="H46" s="1736"/>
      <c r="I46" s="1736"/>
      <c r="J46" s="1736"/>
      <c r="K46" s="1736"/>
      <c r="L46" s="1736"/>
      <c r="M46" s="1736"/>
      <c r="N46" s="1736"/>
      <c r="O46" s="1736"/>
      <c r="P46" s="1736"/>
      <c r="Q46" s="1736"/>
      <c r="R46" s="1736"/>
      <c r="S46" s="1736"/>
    </row>
    <row r="47" spans="2:19">
      <c r="B47" s="1554">
        <f>B40+1</f>
        <v>24</v>
      </c>
      <c r="D47" s="1199" t="s">
        <v>1649</v>
      </c>
      <c r="E47" s="1736"/>
      <c r="F47" s="1736"/>
      <c r="G47" s="1736"/>
      <c r="H47" s="1736"/>
      <c r="I47" s="1736"/>
      <c r="J47" s="1559" t="s">
        <v>1899</v>
      </c>
      <c r="K47" s="1736"/>
      <c r="L47" s="1559">
        <f>'1E - ADIT Amortization'!M90</f>
        <v>-53897718.155828647</v>
      </c>
      <c r="M47" s="1736"/>
      <c r="N47" s="1559" t="s">
        <v>1899</v>
      </c>
      <c r="O47" s="1736"/>
      <c r="P47" s="1736"/>
      <c r="Q47" s="1736"/>
      <c r="R47" s="1559">
        <f>'1E - ADIT Amortization'!M90</f>
        <v>-53897718.155828647</v>
      </c>
      <c r="S47" s="1736"/>
    </row>
    <row r="48" spans="2:19">
      <c r="E48" s="1736"/>
      <c r="F48" s="1736"/>
      <c r="G48" s="1736"/>
      <c r="H48" s="1736"/>
      <c r="I48" s="1736"/>
      <c r="J48" s="1736"/>
      <c r="K48" s="1736"/>
      <c r="L48" s="1736"/>
      <c r="M48" s="1736"/>
      <c r="N48" s="1736"/>
      <c r="O48" s="1736"/>
      <c r="P48" s="1736"/>
      <c r="Q48" s="1736"/>
      <c r="R48" s="1736"/>
      <c r="S48" s="1736"/>
    </row>
    <row r="49" spans="2:19">
      <c r="B49" s="1554">
        <f>B47+1</f>
        <v>25</v>
      </c>
      <c r="D49" s="1560" t="s">
        <v>636</v>
      </c>
      <c r="E49" s="1559">
        <v>31</v>
      </c>
      <c r="F49" s="1561">
        <v>0</v>
      </c>
      <c r="G49" s="1561">
        <v>214</v>
      </c>
      <c r="H49" s="1562">
        <f t="shared" ref="H49:H60" si="10">IF(F49=0,0.5,F49/G49)</f>
        <v>0.5</v>
      </c>
      <c r="I49" s="1563"/>
      <c r="J49" s="1559">
        <v>137834.58333333334</v>
      </c>
      <c r="K49" s="1564">
        <f t="shared" ref="K49:K60" si="11">+J49*H49</f>
        <v>68917.291666666672</v>
      </c>
      <c r="L49" s="1564">
        <f>+K49+L47</f>
        <v>-53828800.864161983</v>
      </c>
      <c r="M49" s="1563"/>
      <c r="N49" s="1559">
        <v>133418.33333333334</v>
      </c>
      <c r="O49" s="1564">
        <f>IF($D$237="True-Up Adjustment",N49-J49,0)</f>
        <v>-4416.25</v>
      </c>
      <c r="P49" s="1564">
        <f>IF($D$237="True-Up Adjustment",IF(AND(J49&gt;=0,N49&gt;=0),IF(O49&gt;=0,K49+O49,N49/J49*K49),IF(AND(J49&lt;0,N49&lt;0),IF(O49&lt;0,K49+O49,N49/J49*K49),0)),0)</f>
        <v>66709.166666666672</v>
      </c>
      <c r="Q49" s="1564">
        <f t="shared" ref="Q49:Q60" si="12">IF(AND(J49&gt;=0,N49&lt;0),N49,IF(AND(J49&lt;0,N49&gt;=0),N49,0))</f>
        <v>0</v>
      </c>
      <c r="R49" s="1564">
        <f>R47+P49+Q49</f>
        <v>-53831008.989161983</v>
      </c>
      <c r="S49" s="1563"/>
    </row>
    <row r="50" spans="2:19">
      <c r="B50" s="1554">
        <f t="shared" ref="B50:B61" si="13">+B49+1</f>
        <v>26</v>
      </c>
      <c r="D50" s="1560" t="s">
        <v>637</v>
      </c>
      <c r="E50" s="1559">
        <v>28</v>
      </c>
      <c r="F50" s="1561">
        <v>0</v>
      </c>
      <c r="G50" s="1561">
        <f t="shared" ref="G50:G60" si="14">G49</f>
        <v>214</v>
      </c>
      <c r="H50" s="1562">
        <f t="shared" si="10"/>
        <v>0.5</v>
      </c>
      <c r="I50" s="1563"/>
      <c r="J50" s="1559">
        <v>137834.58333333334</v>
      </c>
      <c r="K50" s="1564">
        <f t="shared" si="11"/>
        <v>68917.291666666672</v>
      </c>
      <c r="L50" s="1564">
        <f t="shared" ref="L50:L60" si="15">+K50+L49</f>
        <v>-53759883.572495319</v>
      </c>
      <c r="M50" s="1563"/>
      <c r="N50" s="1559">
        <v>133418.33333333334</v>
      </c>
      <c r="O50" s="1564">
        <f t="shared" ref="O50:O60" si="16">IF($D$237="True-Up Adjustment",N50-J50,0)</f>
        <v>-4416.25</v>
      </c>
      <c r="P50" s="1564">
        <f t="shared" ref="P50:P60" si="17">IF($D$237="True-Up Adjustment",IF(AND(J50&gt;=0,N50&gt;=0),IF(O50&gt;=0,K50+O50,N50/J50*K50),IF(AND(J50&lt;0,N50&lt;0),IF(O50&lt;0,K50+O50,N50/J50*K50),0)),0)</f>
        <v>66709.166666666672</v>
      </c>
      <c r="Q50" s="1564">
        <f t="shared" si="12"/>
        <v>0</v>
      </c>
      <c r="R50" s="1564">
        <f t="shared" ref="R50:R60" si="18">R49+P50+Q50</f>
        <v>-53764299.822495319</v>
      </c>
      <c r="S50" s="1563"/>
    </row>
    <row r="51" spans="2:19">
      <c r="B51" s="1554">
        <f t="shared" si="13"/>
        <v>27</v>
      </c>
      <c r="D51" s="1560" t="s">
        <v>664</v>
      </c>
      <c r="E51" s="1559">
        <v>31</v>
      </c>
      <c r="F51" s="1561">
        <v>0</v>
      </c>
      <c r="G51" s="1561">
        <f t="shared" si="14"/>
        <v>214</v>
      </c>
      <c r="H51" s="1562">
        <f t="shared" si="10"/>
        <v>0.5</v>
      </c>
      <c r="I51" s="1563"/>
      <c r="J51" s="1559">
        <v>137834.58333333334</v>
      </c>
      <c r="K51" s="1564">
        <f t="shared" si="11"/>
        <v>68917.291666666672</v>
      </c>
      <c r="L51" s="1564">
        <f t="shared" si="15"/>
        <v>-53690966.280828655</v>
      </c>
      <c r="M51" s="1563"/>
      <c r="N51" s="1559">
        <v>133418.33333333334</v>
      </c>
      <c r="O51" s="1564">
        <f t="shared" si="16"/>
        <v>-4416.25</v>
      </c>
      <c r="P51" s="1564">
        <f t="shared" si="17"/>
        <v>66709.166666666672</v>
      </c>
      <c r="Q51" s="1564">
        <f t="shared" si="12"/>
        <v>0</v>
      </c>
      <c r="R51" s="1564">
        <f t="shared" si="18"/>
        <v>-53697590.655828655</v>
      </c>
      <c r="S51" s="1563"/>
    </row>
    <row r="52" spans="2:19">
      <c r="B52" s="1554">
        <f t="shared" si="13"/>
        <v>28</v>
      </c>
      <c r="D52" s="1560" t="s">
        <v>213</v>
      </c>
      <c r="E52" s="1559">
        <v>30</v>
      </c>
      <c r="F52" s="1561">
        <v>0</v>
      </c>
      <c r="G52" s="1561">
        <f t="shared" si="14"/>
        <v>214</v>
      </c>
      <c r="H52" s="1562">
        <f t="shared" si="10"/>
        <v>0.5</v>
      </c>
      <c r="I52" s="1563"/>
      <c r="J52" s="1559">
        <v>137834.58333333334</v>
      </c>
      <c r="K52" s="1564">
        <f t="shared" si="11"/>
        <v>68917.291666666672</v>
      </c>
      <c r="L52" s="1564">
        <f t="shared" si="15"/>
        <v>-53622048.989161991</v>
      </c>
      <c r="M52" s="1563"/>
      <c r="N52" s="1559">
        <v>133418.33333333334</v>
      </c>
      <c r="O52" s="1564">
        <f>IF($D$237="True-Up Adjustment",N52-J52,0)</f>
        <v>-4416.25</v>
      </c>
      <c r="P52" s="1564">
        <f t="shared" si="17"/>
        <v>66709.166666666672</v>
      </c>
      <c r="Q52" s="1564">
        <f t="shared" si="12"/>
        <v>0</v>
      </c>
      <c r="R52" s="1564">
        <f t="shared" si="18"/>
        <v>-53630881.489161991</v>
      </c>
      <c r="S52" s="1563"/>
    </row>
    <row r="53" spans="2:19">
      <c r="B53" s="1554">
        <f t="shared" si="13"/>
        <v>29</v>
      </c>
      <c r="D53" s="1560" t="s">
        <v>214</v>
      </c>
      <c r="E53" s="1559">
        <v>31</v>
      </c>
      <c r="F53" s="1561">
        <v>0</v>
      </c>
      <c r="G53" s="1561">
        <f t="shared" si="14"/>
        <v>214</v>
      </c>
      <c r="H53" s="1562">
        <f t="shared" si="10"/>
        <v>0.5</v>
      </c>
      <c r="I53" s="1563"/>
      <c r="J53" s="1559">
        <v>137834.58333333334</v>
      </c>
      <c r="K53" s="1564">
        <f t="shared" si="11"/>
        <v>68917.291666666672</v>
      </c>
      <c r="L53" s="1564">
        <f t="shared" si="15"/>
        <v>-53553131.697495326</v>
      </c>
      <c r="M53" s="1563"/>
      <c r="N53" s="1559">
        <v>133418.33333333334</v>
      </c>
      <c r="O53" s="1564">
        <f t="shared" si="16"/>
        <v>-4416.25</v>
      </c>
      <c r="P53" s="1564">
        <f t="shared" si="17"/>
        <v>66709.166666666672</v>
      </c>
      <c r="Q53" s="1564">
        <f t="shared" si="12"/>
        <v>0</v>
      </c>
      <c r="R53" s="1564">
        <f t="shared" si="18"/>
        <v>-53564172.322495326</v>
      </c>
      <c r="S53" s="1563"/>
    </row>
    <row r="54" spans="2:19">
      <c r="B54" s="1554">
        <f t="shared" si="13"/>
        <v>30</v>
      </c>
      <c r="D54" s="1560" t="s">
        <v>215</v>
      </c>
      <c r="E54" s="1559">
        <v>30</v>
      </c>
      <c r="F54" s="1561">
        <f t="shared" ref="F54:F59" si="19">E55+F55</f>
        <v>185</v>
      </c>
      <c r="G54" s="1561">
        <f t="shared" si="14"/>
        <v>214</v>
      </c>
      <c r="H54" s="1562">
        <f t="shared" si="10"/>
        <v>0.86448598130841126</v>
      </c>
      <c r="I54" s="1563"/>
      <c r="J54" s="1559">
        <v>137834.58333333334</v>
      </c>
      <c r="K54" s="1564">
        <f t="shared" si="11"/>
        <v>119156.06503115266</v>
      </c>
      <c r="L54" s="1564">
        <f t="shared" si="15"/>
        <v>-53433975.63246417</v>
      </c>
      <c r="M54" s="1563"/>
      <c r="N54" s="1559">
        <v>133418.33333333334</v>
      </c>
      <c r="O54" s="1564">
        <f t="shared" si="16"/>
        <v>-4416.25</v>
      </c>
      <c r="P54" s="1564">
        <f t="shared" si="17"/>
        <v>115338.27881619938</v>
      </c>
      <c r="Q54" s="1564">
        <f t="shared" si="12"/>
        <v>0</v>
      </c>
      <c r="R54" s="1564">
        <f t="shared" si="18"/>
        <v>-53448834.043679126</v>
      </c>
      <c r="S54" s="1563"/>
    </row>
    <row r="55" spans="2:19">
      <c r="B55" s="1554">
        <f t="shared" si="13"/>
        <v>31</v>
      </c>
      <c r="D55" s="1560" t="s">
        <v>639</v>
      </c>
      <c r="E55" s="1559">
        <v>31</v>
      </c>
      <c r="F55" s="1561">
        <f t="shared" si="19"/>
        <v>154</v>
      </c>
      <c r="G55" s="1561">
        <f t="shared" si="14"/>
        <v>214</v>
      </c>
      <c r="H55" s="1562">
        <f t="shared" si="10"/>
        <v>0.71962616822429903</v>
      </c>
      <c r="I55" s="1563"/>
      <c r="J55" s="1559">
        <v>137834.58333333334</v>
      </c>
      <c r="K55" s="1564">
        <f t="shared" si="11"/>
        <v>99189.373052959505</v>
      </c>
      <c r="L55" s="1564">
        <f t="shared" si="15"/>
        <v>-53334786.259411208</v>
      </c>
      <c r="M55" s="1563"/>
      <c r="N55" s="1559">
        <v>133418.33333333334</v>
      </c>
      <c r="O55" s="1564">
        <f t="shared" si="16"/>
        <v>-4416.25</v>
      </c>
      <c r="P55" s="1564">
        <f t="shared" si="17"/>
        <v>96011.323987538941</v>
      </c>
      <c r="Q55" s="1564">
        <f t="shared" si="12"/>
        <v>0</v>
      </c>
      <c r="R55" s="1564">
        <f t="shared" si="18"/>
        <v>-53352822.719691589</v>
      </c>
      <c r="S55" s="1563"/>
    </row>
    <row r="56" spans="2:19">
      <c r="B56" s="1554">
        <f t="shared" si="13"/>
        <v>32</v>
      </c>
      <c r="D56" s="1560" t="s">
        <v>665</v>
      </c>
      <c r="E56" s="1559">
        <v>31</v>
      </c>
      <c r="F56" s="1561">
        <f t="shared" si="19"/>
        <v>123</v>
      </c>
      <c r="G56" s="1561">
        <f t="shared" si="14"/>
        <v>214</v>
      </c>
      <c r="H56" s="1562">
        <f t="shared" si="10"/>
        <v>0.57476635514018692</v>
      </c>
      <c r="I56" s="1563"/>
      <c r="J56" s="1559">
        <v>137834.58333333334</v>
      </c>
      <c r="K56" s="1564">
        <f t="shared" si="11"/>
        <v>79222.681074766355</v>
      </c>
      <c r="L56" s="1564">
        <f t="shared" si="15"/>
        <v>-53255563.57833644</v>
      </c>
      <c r="M56" s="1563"/>
      <c r="N56" s="1559">
        <v>133418.33333333334</v>
      </c>
      <c r="O56" s="1564">
        <f t="shared" si="16"/>
        <v>-4416.25</v>
      </c>
      <c r="P56" s="1564">
        <f t="shared" si="17"/>
        <v>76684.3691588785</v>
      </c>
      <c r="Q56" s="1564">
        <f t="shared" si="12"/>
        <v>0</v>
      </c>
      <c r="R56" s="1564">
        <f t="shared" si="18"/>
        <v>-53276138.350532711</v>
      </c>
      <c r="S56" s="1563"/>
    </row>
    <row r="57" spans="2:19">
      <c r="B57" s="1554">
        <f t="shared" si="13"/>
        <v>33</v>
      </c>
      <c r="D57" s="1560" t="s">
        <v>641</v>
      </c>
      <c r="E57" s="1559">
        <v>30</v>
      </c>
      <c r="F57" s="1561">
        <f t="shared" si="19"/>
        <v>93</v>
      </c>
      <c r="G57" s="1561">
        <f t="shared" si="14"/>
        <v>214</v>
      </c>
      <c r="H57" s="1562">
        <f t="shared" si="10"/>
        <v>0.43457943925233644</v>
      </c>
      <c r="I57" s="1563"/>
      <c r="J57" s="1559">
        <v>137834.58333333334</v>
      </c>
      <c r="K57" s="1564">
        <f t="shared" si="11"/>
        <v>59900.075934579443</v>
      </c>
      <c r="L57" s="1564">
        <f t="shared" si="15"/>
        <v>-53195663.502401859</v>
      </c>
      <c r="M57" s="1563"/>
      <c r="N57" s="1559">
        <v>133418.33333333334</v>
      </c>
      <c r="O57" s="1564">
        <f t="shared" si="16"/>
        <v>-4416.25</v>
      </c>
      <c r="P57" s="1564">
        <f t="shared" si="17"/>
        <v>57980.864485981314</v>
      </c>
      <c r="Q57" s="1564">
        <f t="shared" si="12"/>
        <v>0</v>
      </c>
      <c r="R57" s="1564">
        <f t="shared" si="18"/>
        <v>-53218157.486046731</v>
      </c>
      <c r="S57" s="1563"/>
    </row>
    <row r="58" spans="2:19">
      <c r="B58" s="1554">
        <f t="shared" si="13"/>
        <v>34</v>
      </c>
      <c r="D58" s="1560" t="s">
        <v>642</v>
      </c>
      <c r="E58" s="1559">
        <v>31</v>
      </c>
      <c r="F58" s="1561">
        <f t="shared" si="19"/>
        <v>62</v>
      </c>
      <c r="G58" s="1561">
        <f t="shared" si="14"/>
        <v>214</v>
      </c>
      <c r="H58" s="1562">
        <f t="shared" si="10"/>
        <v>0.28971962616822428</v>
      </c>
      <c r="I58" s="1563"/>
      <c r="J58" s="1559">
        <v>137834.58333333334</v>
      </c>
      <c r="K58" s="1564">
        <f t="shared" si="11"/>
        <v>39933.383956386293</v>
      </c>
      <c r="L58" s="1564">
        <f t="shared" si="15"/>
        <v>-53155730.118445471</v>
      </c>
      <c r="M58" s="1563"/>
      <c r="N58" s="1559">
        <v>133418.33333333334</v>
      </c>
      <c r="O58" s="1564">
        <f t="shared" si="16"/>
        <v>-4416.25</v>
      </c>
      <c r="P58" s="1564">
        <f t="shared" si="17"/>
        <v>38653.909657320874</v>
      </c>
      <c r="Q58" s="1564">
        <f t="shared" si="12"/>
        <v>0</v>
      </c>
      <c r="R58" s="1564">
        <f t="shared" si="18"/>
        <v>-53179503.57638941</v>
      </c>
      <c r="S58" s="1563"/>
    </row>
    <row r="59" spans="2:19">
      <c r="B59" s="1554">
        <f t="shared" si="13"/>
        <v>35</v>
      </c>
      <c r="D59" s="1560" t="s">
        <v>643</v>
      </c>
      <c r="E59" s="1559">
        <v>30</v>
      </c>
      <c r="F59" s="1561">
        <f t="shared" si="19"/>
        <v>32</v>
      </c>
      <c r="G59" s="1561">
        <f t="shared" si="14"/>
        <v>214</v>
      </c>
      <c r="H59" s="1562">
        <f t="shared" si="10"/>
        <v>0.14953271028037382</v>
      </c>
      <c r="I59" s="1563"/>
      <c r="J59" s="1559">
        <v>137834.58333333334</v>
      </c>
      <c r="K59" s="1564">
        <f t="shared" si="11"/>
        <v>20610.778816199378</v>
      </c>
      <c r="L59" s="1564">
        <f t="shared" si="15"/>
        <v>-53135119.33962927</v>
      </c>
      <c r="M59" s="1563"/>
      <c r="N59" s="1559">
        <v>133418.33333333334</v>
      </c>
      <c r="O59" s="1564">
        <f t="shared" si="16"/>
        <v>-4416.25</v>
      </c>
      <c r="P59" s="1564">
        <f t="shared" si="17"/>
        <v>19950.404984423676</v>
      </c>
      <c r="Q59" s="1564">
        <f t="shared" si="12"/>
        <v>0</v>
      </c>
      <c r="R59" s="1564">
        <f t="shared" si="18"/>
        <v>-53159553.171404988</v>
      </c>
      <c r="S59" s="1563"/>
    </row>
    <row r="60" spans="2:19">
      <c r="B60" s="1554">
        <f t="shared" si="13"/>
        <v>36</v>
      </c>
      <c r="D60" s="1565" t="s">
        <v>869</v>
      </c>
      <c r="E60" s="1559">
        <v>31</v>
      </c>
      <c r="F60" s="1566">
        <v>1</v>
      </c>
      <c r="G60" s="1561">
        <f t="shared" si="14"/>
        <v>214</v>
      </c>
      <c r="H60" s="1562">
        <f t="shared" si="10"/>
        <v>4.6728971962616819E-3</v>
      </c>
      <c r="I60" s="1563"/>
      <c r="J60" s="1559">
        <v>137834.58333333334</v>
      </c>
      <c r="K60" s="1564">
        <f t="shared" si="11"/>
        <v>644.08683800623055</v>
      </c>
      <c r="L60" s="1564">
        <f t="shared" si="15"/>
        <v>-53134475.252791263</v>
      </c>
      <c r="M60" s="1563"/>
      <c r="N60" s="1559">
        <v>133418.33333333334</v>
      </c>
      <c r="O60" s="1564">
        <f t="shared" si="16"/>
        <v>-4416.25</v>
      </c>
      <c r="P60" s="1564">
        <f t="shared" si="17"/>
        <v>623.45015576323988</v>
      </c>
      <c r="Q60" s="1564">
        <f t="shared" si="12"/>
        <v>0</v>
      </c>
      <c r="R60" s="1564">
        <f t="shared" si="18"/>
        <v>-53158929.721249223</v>
      </c>
      <c r="S60" s="1563"/>
    </row>
    <row r="61" spans="2:19">
      <c r="B61" s="1554">
        <f t="shared" si="13"/>
        <v>37</v>
      </c>
      <c r="D61" s="1567" t="str">
        <f>"Total (Sum of Lines "&amp;B49&amp;" - "&amp;B60&amp;")"</f>
        <v>Total (Sum of Lines 25 - 36)</v>
      </c>
      <c r="E61" s="1568">
        <f>SUM(E49:E60)</f>
        <v>365</v>
      </c>
      <c r="F61" s="1569"/>
      <c r="G61" s="1569"/>
      <c r="H61" s="1570"/>
      <c r="I61" s="1571"/>
      <c r="J61" s="1568">
        <f>SUM(J49:J60)</f>
        <v>1654014.9999999998</v>
      </c>
      <c r="K61" s="1568">
        <f>SUM(K49:K60)</f>
        <v>763242.90303738322</v>
      </c>
      <c r="L61" s="1568"/>
      <c r="M61" s="1571"/>
      <c r="N61" s="1568">
        <f>SUM(N49:N60)</f>
        <v>1601019.9999999998</v>
      </c>
      <c r="O61" s="1568">
        <f>SUM(O49:O60)</f>
        <v>-52995</v>
      </c>
      <c r="P61" s="1568">
        <f>SUM(P49:P60)</f>
        <v>738788.43457943911</v>
      </c>
      <c r="Q61" s="1568">
        <f>SUM(Q49:Q60)</f>
        <v>0</v>
      </c>
      <c r="R61" s="1572"/>
      <c r="S61" s="1571"/>
    </row>
    <row r="62" spans="2:19">
      <c r="D62" s="1573"/>
      <c r="E62" s="1573"/>
      <c r="F62" s="1573"/>
      <c r="G62" s="1573"/>
      <c r="H62" s="1574"/>
      <c r="I62" s="1574"/>
      <c r="K62" s="1575"/>
      <c r="L62" s="1574"/>
      <c r="M62" s="1574"/>
      <c r="N62" s="1585"/>
      <c r="O62" s="1575"/>
      <c r="P62" s="1575"/>
      <c r="Q62" s="1575"/>
      <c r="R62" s="1574"/>
      <c r="S62" s="1574"/>
    </row>
    <row r="63" spans="2:19" ht="15" customHeight="1">
      <c r="B63" s="1554">
        <f>B61+1</f>
        <v>38</v>
      </c>
      <c r="D63" s="1199" t="s">
        <v>1650</v>
      </c>
      <c r="I63" s="1574"/>
      <c r="J63" s="1559" t="s">
        <v>1899</v>
      </c>
      <c r="L63" s="1559">
        <f>'1E - ADIT Amortization'!M18+'1E - ADIT Amortization'!M27</f>
        <v>-27676110.388318922</v>
      </c>
      <c r="M63" s="1576"/>
      <c r="N63" s="1559" t="s">
        <v>1899</v>
      </c>
      <c r="R63" s="1559">
        <f>'1E - ADIT Amortization'!M18+'1E - ADIT Amortization'!M27</f>
        <v>-27676110.388318922</v>
      </c>
    </row>
    <row r="64" spans="2:19">
      <c r="B64" s="1554">
        <f>B63+1</f>
        <v>39</v>
      </c>
      <c r="D64" s="1199" t="s">
        <v>1651</v>
      </c>
      <c r="I64" s="1574"/>
      <c r="J64" s="1577" t="s">
        <v>759</v>
      </c>
      <c r="L64" s="1578">
        <v>0</v>
      </c>
      <c r="M64" s="1579"/>
      <c r="N64" s="1577"/>
      <c r="R64" s="1578">
        <v>0</v>
      </c>
    </row>
    <row r="65" spans="2:19">
      <c r="B65" s="1554">
        <f>B64+1</f>
        <v>40</v>
      </c>
      <c r="D65" s="1199" t="s">
        <v>1652</v>
      </c>
      <c r="I65" s="1574"/>
      <c r="J65" s="1567" t="str">
        <f>"(Col. "&amp;L44&amp;", Line "&amp;B63&amp;" + Line "&amp;B64&amp;")"</f>
        <v>(Col. (H), Line 38 + Line 39)</v>
      </c>
      <c r="L65" s="1580">
        <f>L63+L64</f>
        <v>-27676110.388318922</v>
      </c>
      <c r="M65" s="1574"/>
      <c r="N65" s="1567" t="str">
        <f>"(Col. "&amp;R44&amp;", Line "&amp;B63&amp;" + Line "&amp;B64&amp;")"</f>
        <v>(Col. (M), Line 38 + Line 39)</v>
      </c>
      <c r="R65" s="1580">
        <f>R63+R64</f>
        <v>-27676110.388318922</v>
      </c>
    </row>
    <row r="66" spans="2:19">
      <c r="I66" s="1574"/>
      <c r="L66" s="1580"/>
      <c r="M66" s="1574"/>
      <c r="R66" s="1580"/>
    </row>
    <row r="67" spans="2:19">
      <c r="B67" s="1554">
        <f>B65+1</f>
        <v>41</v>
      </c>
      <c r="D67" s="1199" t="s">
        <v>1653</v>
      </c>
      <c r="I67" s="1574"/>
      <c r="J67" s="1559" t="s">
        <v>1995</v>
      </c>
      <c r="L67" s="1559">
        <f>'1E - ADIT Amortization'!Q18+'1E - ADIT Amortization'!Q27</f>
        <v>-18450740.258879282</v>
      </c>
      <c r="M67" s="1576"/>
      <c r="N67" s="1559" t="s">
        <v>1995</v>
      </c>
      <c r="R67" s="1559">
        <f>'1E - ADIT Amortization'!Q18+'1E - ADIT Amortization'!Q27</f>
        <v>-18450740.258879282</v>
      </c>
    </row>
    <row r="68" spans="2:19">
      <c r="B68" s="1554">
        <f>B67+1</f>
        <v>42</v>
      </c>
      <c r="D68" s="1199" t="s">
        <v>1654</v>
      </c>
      <c r="I68" s="1574"/>
      <c r="J68" s="1577" t="s">
        <v>759</v>
      </c>
      <c r="L68" s="1578">
        <v>0</v>
      </c>
      <c r="M68" s="1574"/>
      <c r="N68" s="1577"/>
      <c r="R68" s="1578">
        <v>0</v>
      </c>
    </row>
    <row r="69" spans="2:19">
      <c r="B69" s="1554">
        <f>B68+1</f>
        <v>43</v>
      </c>
      <c r="D69" s="1199" t="s">
        <v>1655</v>
      </c>
      <c r="I69" s="1574"/>
      <c r="J69" s="1567" t="str">
        <f>"(Col. "&amp;L44&amp;", Line "&amp;B67&amp;" + Line "&amp;B68&amp;")"</f>
        <v>(Col. (H), Line 41 + Line 42)</v>
      </c>
      <c r="L69" s="1580">
        <f>L67+L68</f>
        <v>-18450740.258879282</v>
      </c>
      <c r="M69" s="1574"/>
      <c r="N69" s="1567" t="str">
        <f>"(Col. "&amp;R44&amp;", Line "&amp;B67&amp;" + Line "&amp;B68&amp;")"</f>
        <v>(Col. (M), Line 41 + Line 42)</v>
      </c>
      <c r="R69" s="1580">
        <f>R67+R68</f>
        <v>-18450740.258879282</v>
      </c>
    </row>
    <row r="70" spans="2:19">
      <c r="I70" s="1574"/>
      <c r="L70" s="1580"/>
      <c r="M70" s="1574"/>
      <c r="R70" s="1580"/>
    </row>
    <row r="71" spans="2:19">
      <c r="B71" s="1554">
        <f>B69+1</f>
        <v>44</v>
      </c>
      <c r="D71" s="1199" t="s">
        <v>1131</v>
      </c>
      <c r="I71" s="1574"/>
      <c r="J71" s="1567" t="str">
        <f>"([Col. "&amp;L44&amp;", Line "&amp;B65&amp;" + Line "&amp;B69&amp;"] /2)"</f>
        <v>([Col. (H), Line 40 + Line 43] /2)</v>
      </c>
      <c r="L71" s="1564">
        <f>(L65+L69)/2</f>
        <v>-23063425.3235991</v>
      </c>
      <c r="M71" s="1574"/>
      <c r="N71" s="1567" t="str">
        <f>"([Col. "&amp;R44&amp;", Line "&amp;B65&amp;" + Line "&amp;B69&amp;"] /2)"</f>
        <v>([Col. (M), Line 40 + Line 43] /2)</v>
      </c>
      <c r="R71" s="1564">
        <f>(R65+R69)/2</f>
        <v>-23063425.3235991</v>
      </c>
    </row>
    <row r="72" spans="2:19">
      <c r="B72" s="1554">
        <f>B71+1</f>
        <v>45</v>
      </c>
      <c r="D72" s="1616" t="s">
        <v>1656</v>
      </c>
      <c r="E72" s="1573"/>
      <c r="F72" s="1573"/>
      <c r="G72" s="1573"/>
      <c r="H72" s="1574"/>
      <c r="I72" s="1574"/>
      <c r="J72" s="1567" t="str">
        <f>"(Col. "&amp;L44&amp;", Line "&amp;B60&amp;" )"</f>
        <v>(Col. (H), Line 36 )</v>
      </c>
      <c r="K72" s="1575"/>
      <c r="L72" s="1564">
        <f>L60</f>
        <v>-53134475.252791263</v>
      </c>
      <c r="M72" s="1574"/>
      <c r="N72" s="1567" t="str">
        <f>"(Col. "&amp;R44&amp;", Line "&amp;B60&amp;" )"</f>
        <v>(Col. (M), Line 36 )</v>
      </c>
      <c r="R72" s="1564">
        <f>R60</f>
        <v>-53158929.721249223</v>
      </c>
    </row>
    <row r="73" spans="2:19" ht="13.5" thickBot="1">
      <c r="B73" s="1554">
        <f>B72+1</f>
        <v>46</v>
      </c>
      <c r="D73" s="1581" t="s">
        <v>1659</v>
      </c>
      <c r="E73" s="1573"/>
      <c r="F73" s="1573"/>
      <c r="G73" s="1573"/>
      <c r="H73" s="1574"/>
      <c r="I73" s="1574"/>
      <c r="J73" s="1567" t="str">
        <f>"(Col. "&amp;L44&amp;", Line "&amp;B71&amp;" + Line "&amp;B72&amp;")"</f>
        <v>(Col. (H), Line 44 + Line 45)</v>
      </c>
      <c r="K73" s="1575"/>
      <c r="L73" s="1582">
        <f>L71+L72</f>
        <v>-76197900.576390356</v>
      </c>
      <c r="M73" s="1574"/>
      <c r="N73" s="1567" t="str">
        <f>"(Col. "&amp;R44&amp;", Line "&amp;B71&amp;" + Line "&amp;B72&amp;")"</f>
        <v>(Col. (M), Line 44 + Line 45)</v>
      </c>
      <c r="R73" s="1582">
        <f>R71+R72</f>
        <v>-76222355.044848323</v>
      </c>
    </row>
    <row r="74" spans="2:19">
      <c r="D74" s="1551"/>
    </row>
    <row r="75" spans="2:19">
      <c r="D75" s="1551" t="s">
        <v>1660</v>
      </c>
      <c r="J75" s="1862"/>
      <c r="K75" s="1862"/>
      <c r="L75" s="1862"/>
      <c r="N75" s="1862"/>
      <c r="O75" s="1862"/>
      <c r="P75" s="1862"/>
      <c r="Q75" s="1862"/>
      <c r="R75" s="1862"/>
    </row>
    <row r="76" spans="2:19">
      <c r="D76" s="1863" t="s">
        <v>1041</v>
      </c>
      <c r="E76" s="1864"/>
      <c r="F76" s="1864"/>
      <c r="G76" s="1864"/>
      <c r="H76" s="1865"/>
      <c r="I76" s="1555"/>
      <c r="J76" s="1866" t="s">
        <v>1647</v>
      </c>
      <c r="K76" s="1867"/>
      <c r="L76" s="1868"/>
      <c r="M76" s="1555"/>
      <c r="N76" s="1866" t="s">
        <v>1648</v>
      </c>
      <c r="O76" s="1867"/>
      <c r="P76" s="1867"/>
      <c r="Q76" s="1867"/>
      <c r="R76" s="1868"/>
      <c r="S76" s="1555"/>
    </row>
    <row r="77" spans="2:19">
      <c r="D77" s="1556" t="s">
        <v>216</v>
      </c>
      <c r="E77" s="1556" t="s">
        <v>217</v>
      </c>
      <c r="F77" s="1556" t="s">
        <v>1579</v>
      </c>
      <c r="G77" s="1556" t="s">
        <v>1580</v>
      </c>
      <c r="H77" s="1556" t="s">
        <v>1581</v>
      </c>
      <c r="I77" s="1555"/>
      <c r="J77" s="1556" t="s">
        <v>1582</v>
      </c>
      <c r="K77" s="1556" t="s">
        <v>1583</v>
      </c>
      <c r="L77" s="1556" t="s">
        <v>1584</v>
      </c>
      <c r="M77" s="1555"/>
      <c r="N77" s="1556" t="s">
        <v>1585</v>
      </c>
      <c r="O77" s="1556" t="s">
        <v>1586</v>
      </c>
      <c r="P77" s="1556" t="s">
        <v>1587</v>
      </c>
      <c r="Q77" s="1556" t="s">
        <v>1588</v>
      </c>
      <c r="R77" s="1556" t="s">
        <v>1589</v>
      </c>
      <c r="S77" s="1555"/>
    </row>
    <row r="78" spans="2:19" ht="51">
      <c r="B78" s="1557" t="s">
        <v>1590</v>
      </c>
      <c r="D78" s="1558" t="s">
        <v>211</v>
      </c>
      <c r="E78" s="1558" t="s">
        <v>1042</v>
      </c>
      <c r="F78" s="1558" t="s">
        <v>1043</v>
      </c>
      <c r="G78" s="1558" t="s">
        <v>1044</v>
      </c>
      <c r="H78" s="1558" t="s">
        <v>1591</v>
      </c>
      <c r="I78" s="1736"/>
      <c r="J78" s="1558" t="s">
        <v>1045</v>
      </c>
      <c r="K78" s="1558" t="s">
        <v>1592</v>
      </c>
      <c r="L78" s="1558" t="s">
        <v>1593</v>
      </c>
      <c r="M78" s="1736"/>
      <c r="N78" s="1558" t="s">
        <v>1134</v>
      </c>
      <c r="O78" s="1558" t="s">
        <v>1594</v>
      </c>
      <c r="P78" s="1558" t="s">
        <v>1595</v>
      </c>
      <c r="Q78" s="1558" t="s">
        <v>1596</v>
      </c>
      <c r="R78" s="1558" t="s">
        <v>1597</v>
      </c>
      <c r="S78" s="1736"/>
    </row>
    <row r="79" spans="2:19">
      <c r="E79" s="1736"/>
      <c r="F79" s="1736"/>
      <c r="G79" s="1736"/>
      <c r="H79" s="1736"/>
      <c r="I79" s="1736"/>
      <c r="J79" s="1736"/>
      <c r="K79" s="1736"/>
      <c r="L79" s="1736"/>
      <c r="M79" s="1736"/>
      <c r="N79" s="1736"/>
      <c r="O79" s="1736"/>
      <c r="P79" s="1736"/>
      <c r="Q79" s="1736"/>
      <c r="R79" s="1736"/>
      <c r="S79" s="1736"/>
    </row>
    <row r="80" spans="2:19">
      <c r="B80" s="1554">
        <f>B73+1</f>
        <v>47</v>
      </c>
      <c r="D80" s="1199" t="s">
        <v>1133</v>
      </c>
      <c r="E80" s="1736"/>
      <c r="F80" s="1736"/>
      <c r="G80" s="1736"/>
      <c r="H80" s="1736"/>
      <c r="I80" s="1736"/>
      <c r="J80" s="1559" t="s">
        <v>1899</v>
      </c>
      <c r="K80" s="1736"/>
      <c r="L80" s="1559">
        <f>'1E - ADIT Amortization'!M91</f>
        <v>0</v>
      </c>
      <c r="M80" s="1736"/>
      <c r="N80" s="1559" t="s">
        <v>1899</v>
      </c>
      <c r="O80" s="1736"/>
      <c r="P80" s="1736"/>
      <c r="Q80" s="1736"/>
      <c r="R80" s="1559">
        <v>0</v>
      </c>
      <c r="S80" s="1736"/>
    </row>
    <row r="81" spans="2:19">
      <c r="E81" s="1736"/>
      <c r="F81" s="1736"/>
      <c r="G81" s="1736"/>
      <c r="H81" s="1736"/>
      <c r="I81" s="1736"/>
      <c r="J81" s="1736"/>
      <c r="K81" s="1736"/>
      <c r="L81" s="1736"/>
      <c r="M81" s="1736"/>
      <c r="N81" s="1736"/>
      <c r="O81" s="1736"/>
      <c r="P81" s="1736"/>
      <c r="Q81" s="1736"/>
      <c r="R81" s="1736"/>
      <c r="S81" s="1736"/>
    </row>
    <row r="82" spans="2:19">
      <c r="B82" s="1554">
        <f>B80+1</f>
        <v>48</v>
      </c>
      <c r="D82" s="1560" t="s">
        <v>636</v>
      </c>
      <c r="E82" s="1559">
        <v>31</v>
      </c>
      <c r="F82" s="1561">
        <v>0</v>
      </c>
      <c r="G82" s="1561">
        <v>214</v>
      </c>
      <c r="H82" s="1562">
        <f t="shared" ref="H82:H93" si="20">IF(F82=0,0.5,F82/G82)</f>
        <v>0.5</v>
      </c>
      <c r="I82" s="1563"/>
      <c r="J82" s="1559">
        <v>0</v>
      </c>
      <c r="K82" s="1564">
        <f t="shared" ref="K82:K93" si="21">+J82*H82</f>
        <v>0</v>
      </c>
      <c r="L82" s="1564">
        <f>+K82</f>
        <v>0</v>
      </c>
      <c r="M82" s="1563"/>
      <c r="N82" s="1559">
        <v>0</v>
      </c>
      <c r="O82" s="1564">
        <f>IF($D$237="True-Up Adjustment",N82-J82,0)</f>
        <v>0</v>
      </c>
      <c r="P82" s="1564">
        <f>IF($D$237="True-Up Adjustment",IF(AND(J82&gt;=0,N82&gt;=0),IF(O82&gt;=0,K82+O82,N82/J82*K82),IF(AND(J82&lt;0,N82&lt;0),IF(O82&lt;0,K82+O82,N82/J82*K82),0)),0)</f>
        <v>0</v>
      </c>
      <c r="Q82" s="1564">
        <f t="shared" ref="Q82:Q93" si="22">IF(AND(J82&gt;=0,N82&lt;0),N82,IF(AND(J82&lt;0,N82&gt;=0),N82,0))</f>
        <v>0</v>
      </c>
      <c r="R82" s="1564">
        <f>+P82+Q82</f>
        <v>0</v>
      </c>
      <c r="S82" s="1563"/>
    </row>
    <row r="83" spans="2:19">
      <c r="B83" s="1554">
        <f t="shared" ref="B83:B94" si="23">+B82+1</f>
        <v>49</v>
      </c>
      <c r="D83" s="1560" t="s">
        <v>637</v>
      </c>
      <c r="E83" s="1559">
        <v>28</v>
      </c>
      <c r="F83" s="1561">
        <v>0</v>
      </c>
      <c r="G83" s="1561">
        <f t="shared" ref="G83:G93" si="24">G82</f>
        <v>214</v>
      </c>
      <c r="H83" s="1562">
        <f t="shared" si="20"/>
        <v>0.5</v>
      </c>
      <c r="I83" s="1563"/>
      <c r="J83" s="1559">
        <v>0</v>
      </c>
      <c r="K83" s="1564">
        <f t="shared" si="21"/>
        <v>0</v>
      </c>
      <c r="L83" s="1564">
        <f t="shared" ref="L83:L93" si="25">+K83+L82</f>
        <v>0</v>
      </c>
      <c r="M83" s="1563"/>
      <c r="N83" s="1559">
        <v>0</v>
      </c>
      <c r="O83" s="1564">
        <f t="shared" ref="O83:O93" si="26">IF($D$237="True-Up Adjustment",N83-J83,0)</f>
        <v>0</v>
      </c>
      <c r="P83" s="1564">
        <f t="shared" ref="P83:P93" si="27">IF($D$237="True-Up Adjustment",IF(AND(J83&gt;=0,N83&gt;=0),IF(O83&gt;=0,K83+O83,N83/J83*K83),IF(AND(J83&lt;0,N83&lt;0),IF(O83&lt;0,K83+O83,N83/J83*K83),0)),0)</f>
        <v>0</v>
      </c>
      <c r="Q83" s="1564">
        <f t="shared" si="22"/>
        <v>0</v>
      </c>
      <c r="R83" s="1564">
        <f t="shared" ref="R83:R93" si="28">R82+P83+Q83</f>
        <v>0</v>
      </c>
      <c r="S83" s="1563"/>
    </row>
    <row r="84" spans="2:19">
      <c r="B84" s="1554">
        <f t="shared" si="23"/>
        <v>50</v>
      </c>
      <c r="D84" s="1560" t="s">
        <v>664</v>
      </c>
      <c r="E84" s="1559">
        <v>31</v>
      </c>
      <c r="F84" s="1561">
        <v>0</v>
      </c>
      <c r="G84" s="1561">
        <f t="shared" si="24"/>
        <v>214</v>
      </c>
      <c r="H84" s="1562">
        <f t="shared" si="20"/>
        <v>0.5</v>
      </c>
      <c r="I84" s="1563"/>
      <c r="J84" s="1559">
        <v>0</v>
      </c>
      <c r="K84" s="1564">
        <f t="shared" si="21"/>
        <v>0</v>
      </c>
      <c r="L84" s="1564">
        <f t="shared" si="25"/>
        <v>0</v>
      </c>
      <c r="M84" s="1563"/>
      <c r="N84" s="1559">
        <v>0</v>
      </c>
      <c r="O84" s="1564">
        <f t="shared" si="26"/>
        <v>0</v>
      </c>
      <c r="P84" s="1564">
        <f t="shared" si="27"/>
        <v>0</v>
      </c>
      <c r="Q84" s="1564">
        <f t="shared" si="22"/>
        <v>0</v>
      </c>
      <c r="R84" s="1564">
        <f t="shared" si="28"/>
        <v>0</v>
      </c>
      <c r="S84" s="1563"/>
    </row>
    <row r="85" spans="2:19">
      <c r="B85" s="1554">
        <f t="shared" si="23"/>
        <v>51</v>
      </c>
      <c r="D85" s="1560" t="s">
        <v>213</v>
      </c>
      <c r="E85" s="1559">
        <v>30</v>
      </c>
      <c r="F85" s="1561">
        <v>0</v>
      </c>
      <c r="G85" s="1561">
        <f t="shared" si="24"/>
        <v>214</v>
      </c>
      <c r="H85" s="1562">
        <f t="shared" si="20"/>
        <v>0.5</v>
      </c>
      <c r="I85" s="1563"/>
      <c r="J85" s="1559">
        <v>0</v>
      </c>
      <c r="K85" s="1564">
        <f t="shared" si="21"/>
        <v>0</v>
      </c>
      <c r="L85" s="1564">
        <f t="shared" si="25"/>
        <v>0</v>
      </c>
      <c r="M85" s="1563"/>
      <c r="N85" s="1559">
        <v>0</v>
      </c>
      <c r="O85" s="1564">
        <f t="shared" si="26"/>
        <v>0</v>
      </c>
      <c r="P85" s="1564">
        <f t="shared" si="27"/>
        <v>0</v>
      </c>
      <c r="Q85" s="1564">
        <f t="shared" si="22"/>
        <v>0</v>
      </c>
      <c r="R85" s="1564">
        <f t="shared" si="28"/>
        <v>0</v>
      </c>
      <c r="S85" s="1563"/>
    </row>
    <row r="86" spans="2:19">
      <c r="B86" s="1554">
        <f t="shared" si="23"/>
        <v>52</v>
      </c>
      <c r="D86" s="1560" t="s">
        <v>214</v>
      </c>
      <c r="E86" s="1559">
        <v>31</v>
      </c>
      <c r="F86" s="1561">
        <v>0</v>
      </c>
      <c r="G86" s="1561">
        <f t="shared" si="24"/>
        <v>214</v>
      </c>
      <c r="H86" s="1562">
        <f t="shared" si="20"/>
        <v>0.5</v>
      </c>
      <c r="I86" s="1563"/>
      <c r="J86" s="1559">
        <v>0</v>
      </c>
      <c r="K86" s="1564">
        <f t="shared" si="21"/>
        <v>0</v>
      </c>
      <c r="L86" s="1564">
        <f t="shared" si="25"/>
        <v>0</v>
      </c>
      <c r="M86" s="1563"/>
      <c r="N86" s="1559">
        <v>0</v>
      </c>
      <c r="O86" s="1564">
        <f t="shared" si="26"/>
        <v>0</v>
      </c>
      <c r="P86" s="1564">
        <f t="shared" si="27"/>
        <v>0</v>
      </c>
      <c r="Q86" s="1564">
        <f t="shared" si="22"/>
        <v>0</v>
      </c>
      <c r="R86" s="1564">
        <f t="shared" si="28"/>
        <v>0</v>
      </c>
      <c r="S86" s="1563"/>
    </row>
    <row r="87" spans="2:19">
      <c r="B87" s="1554">
        <f t="shared" si="23"/>
        <v>53</v>
      </c>
      <c r="D87" s="1560" t="s">
        <v>215</v>
      </c>
      <c r="E87" s="1559">
        <v>30</v>
      </c>
      <c r="F87" s="1561">
        <f t="shared" ref="F87:F92" si="29">E88+F88</f>
        <v>185</v>
      </c>
      <c r="G87" s="1561">
        <f t="shared" si="24"/>
        <v>214</v>
      </c>
      <c r="H87" s="1562">
        <f t="shared" si="20"/>
        <v>0.86448598130841126</v>
      </c>
      <c r="I87" s="1563"/>
      <c r="J87" s="1559">
        <v>0</v>
      </c>
      <c r="K87" s="1564">
        <f t="shared" si="21"/>
        <v>0</v>
      </c>
      <c r="L87" s="1564">
        <f t="shared" si="25"/>
        <v>0</v>
      </c>
      <c r="M87" s="1563"/>
      <c r="N87" s="1559">
        <v>0</v>
      </c>
      <c r="O87" s="1564">
        <f t="shared" si="26"/>
        <v>0</v>
      </c>
      <c r="P87" s="1564">
        <f t="shared" si="27"/>
        <v>0</v>
      </c>
      <c r="Q87" s="1564">
        <f t="shared" si="22"/>
        <v>0</v>
      </c>
      <c r="R87" s="1564">
        <f t="shared" si="28"/>
        <v>0</v>
      </c>
      <c r="S87" s="1563"/>
    </row>
    <row r="88" spans="2:19">
      <c r="B88" s="1554">
        <f t="shared" si="23"/>
        <v>54</v>
      </c>
      <c r="D88" s="1560" t="s">
        <v>639</v>
      </c>
      <c r="E88" s="1559">
        <v>31</v>
      </c>
      <c r="F88" s="1561">
        <f t="shared" si="29"/>
        <v>154</v>
      </c>
      <c r="G88" s="1561">
        <f t="shared" si="24"/>
        <v>214</v>
      </c>
      <c r="H88" s="1562">
        <f t="shared" si="20"/>
        <v>0.71962616822429903</v>
      </c>
      <c r="I88" s="1563"/>
      <c r="J88" s="1559">
        <v>0</v>
      </c>
      <c r="K88" s="1564">
        <f t="shared" si="21"/>
        <v>0</v>
      </c>
      <c r="L88" s="1564">
        <f t="shared" si="25"/>
        <v>0</v>
      </c>
      <c r="M88" s="1563"/>
      <c r="N88" s="1559">
        <v>0</v>
      </c>
      <c r="O88" s="1564">
        <f t="shared" si="26"/>
        <v>0</v>
      </c>
      <c r="P88" s="1564">
        <f t="shared" si="27"/>
        <v>0</v>
      </c>
      <c r="Q88" s="1564">
        <f t="shared" si="22"/>
        <v>0</v>
      </c>
      <c r="R88" s="1564">
        <f t="shared" si="28"/>
        <v>0</v>
      </c>
      <c r="S88" s="1563"/>
    </row>
    <row r="89" spans="2:19">
      <c r="B89" s="1554">
        <f t="shared" si="23"/>
        <v>55</v>
      </c>
      <c r="D89" s="1560" t="s">
        <v>665</v>
      </c>
      <c r="E89" s="1559">
        <v>31</v>
      </c>
      <c r="F89" s="1561">
        <f t="shared" si="29"/>
        <v>123</v>
      </c>
      <c r="G89" s="1561">
        <f t="shared" si="24"/>
        <v>214</v>
      </c>
      <c r="H89" s="1562">
        <f t="shared" si="20"/>
        <v>0.57476635514018692</v>
      </c>
      <c r="I89" s="1563"/>
      <c r="J89" s="1559">
        <v>0</v>
      </c>
      <c r="K89" s="1564">
        <f t="shared" si="21"/>
        <v>0</v>
      </c>
      <c r="L89" s="1564">
        <f t="shared" si="25"/>
        <v>0</v>
      </c>
      <c r="M89" s="1563"/>
      <c r="N89" s="1559">
        <v>0</v>
      </c>
      <c r="O89" s="1564">
        <f t="shared" si="26"/>
        <v>0</v>
      </c>
      <c r="P89" s="1564">
        <f t="shared" si="27"/>
        <v>0</v>
      </c>
      <c r="Q89" s="1564">
        <f t="shared" si="22"/>
        <v>0</v>
      </c>
      <c r="R89" s="1564">
        <f t="shared" si="28"/>
        <v>0</v>
      </c>
      <c r="S89" s="1563"/>
    </row>
    <row r="90" spans="2:19">
      <c r="B90" s="1554">
        <f t="shared" si="23"/>
        <v>56</v>
      </c>
      <c r="D90" s="1560" t="s">
        <v>641</v>
      </c>
      <c r="E90" s="1559">
        <v>30</v>
      </c>
      <c r="F90" s="1561">
        <f t="shared" si="29"/>
        <v>93</v>
      </c>
      <c r="G90" s="1561">
        <f t="shared" si="24"/>
        <v>214</v>
      </c>
      <c r="H90" s="1562">
        <f t="shared" si="20"/>
        <v>0.43457943925233644</v>
      </c>
      <c r="I90" s="1563"/>
      <c r="J90" s="1559">
        <v>0</v>
      </c>
      <c r="K90" s="1564">
        <f t="shared" si="21"/>
        <v>0</v>
      </c>
      <c r="L90" s="1564">
        <f t="shared" si="25"/>
        <v>0</v>
      </c>
      <c r="M90" s="1563"/>
      <c r="N90" s="1559">
        <v>0</v>
      </c>
      <c r="O90" s="1564">
        <f t="shared" si="26"/>
        <v>0</v>
      </c>
      <c r="P90" s="1564">
        <f t="shared" si="27"/>
        <v>0</v>
      </c>
      <c r="Q90" s="1564">
        <f t="shared" si="22"/>
        <v>0</v>
      </c>
      <c r="R90" s="1564">
        <f t="shared" si="28"/>
        <v>0</v>
      </c>
      <c r="S90" s="1563"/>
    </row>
    <row r="91" spans="2:19">
      <c r="B91" s="1554">
        <f t="shared" si="23"/>
        <v>57</v>
      </c>
      <c r="D91" s="1560" t="s">
        <v>642</v>
      </c>
      <c r="E91" s="1559">
        <v>31</v>
      </c>
      <c r="F91" s="1561">
        <f t="shared" si="29"/>
        <v>62</v>
      </c>
      <c r="G91" s="1561">
        <f t="shared" si="24"/>
        <v>214</v>
      </c>
      <c r="H91" s="1562">
        <f t="shared" si="20"/>
        <v>0.28971962616822428</v>
      </c>
      <c r="I91" s="1563"/>
      <c r="J91" s="1559">
        <v>0</v>
      </c>
      <c r="K91" s="1564">
        <f t="shared" si="21"/>
        <v>0</v>
      </c>
      <c r="L91" s="1564">
        <f t="shared" si="25"/>
        <v>0</v>
      </c>
      <c r="M91" s="1563"/>
      <c r="N91" s="1559">
        <v>0</v>
      </c>
      <c r="O91" s="1564">
        <f t="shared" si="26"/>
        <v>0</v>
      </c>
      <c r="P91" s="1564">
        <f t="shared" si="27"/>
        <v>0</v>
      </c>
      <c r="Q91" s="1564">
        <f t="shared" si="22"/>
        <v>0</v>
      </c>
      <c r="R91" s="1564">
        <f t="shared" si="28"/>
        <v>0</v>
      </c>
      <c r="S91" s="1563"/>
    </row>
    <row r="92" spans="2:19">
      <c r="B92" s="1554">
        <f t="shared" si="23"/>
        <v>58</v>
      </c>
      <c r="D92" s="1560" t="s">
        <v>643</v>
      </c>
      <c r="E92" s="1559">
        <v>30</v>
      </c>
      <c r="F92" s="1561">
        <f t="shared" si="29"/>
        <v>32</v>
      </c>
      <c r="G92" s="1561">
        <f t="shared" si="24"/>
        <v>214</v>
      </c>
      <c r="H92" s="1562">
        <f t="shared" si="20"/>
        <v>0.14953271028037382</v>
      </c>
      <c r="I92" s="1563"/>
      <c r="J92" s="1559">
        <v>0</v>
      </c>
      <c r="K92" s="1564">
        <f t="shared" si="21"/>
        <v>0</v>
      </c>
      <c r="L92" s="1564">
        <f t="shared" si="25"/>
        <v>0</v>
      </c>
      <c r="M92" s="1563"/>
      <c r="N92" s="1559">
        <v>0</v>
      </c>
      <c r="O92" s="1564">
        <f t="shared" si="26"/>
        <v>0</v>
      </c>
      <c r="P92" s="1564">
        <f t="shared" si="27"/>
        <v>0</v>
      </c>
      <c r="Q92" s="1564">
        <f t="shared" si="22"/>
        <v>0</v>
      </c>
      <c r="R92" s="1564">
        <f t="shared" si="28"/>
        <v>0</v>
      </c>
      <c r="S92" s="1563"/>
    </row>
    <row r="93" spans="2:19">
      <c r="B93" s="1554">
        <f t="shared" si="23"/>
        <v>59</v>
      </c>
      <c r="D93" s="1565" t="s">
        <v>869</v>
      </c>
      <c r="E93" s="1559">
        <v>31</v>
      </c>
      <c r="F93" s="1566">
        <v>1</v>
      </c>
      <c r="G93" s="1561">
        <f t="shared" si="24"/>
        <v>214</v>
      </c>
      <c r="H93" s="1562">
        <f t="shared" si="20"/>
        <v>4.6728971962616819E-3</v>
      </c>
      <c r="I93" s="1563"/>
      <c r="J93" s="1559">
        <v>0</v>
      </c>
      <c r="K93" s="1564">
        <f t="shared" si="21"/>
        <v>0</v>
      </c>
      <c r="L93" s="1564">
        <f t="shared" si="25"/>
        <v>0</v>
      </c>
      <c r="M93" s="1563"/>
      <c r="N93" s="1559">
        <v>0</v>
      </c>
      <c r="O93" s="1564">
        <f t="shared" si="26"/>
        <v>0</v>
      </c>
      <c r="P93" s="1564">
        <f t="shared" si="27"/>
        <v>0</v>
      </c>
      <c r="Q93" s="1564">
        <f t="shared" si="22"/>
        <v>0</v>
      </c>
      <c r="R93" s="1564">
        <f t="shared" si="28"/>
        <v>0</v>
      </c>
      <c r="S93" s="1563"/>
    </row>
    <row r="94" spans="2:19">
      <c r="B94" s="1554">
        <f t="shared" si="23"/>
        <v>60</v>
      </c>
      <c r="D94" s="1567" t="str">
        <f>"Total (Sum of Lines "&amp;B82&amp;" - "&amp;B93&amp;")"</f>
        <v>Total (Sum of Lines 48 - 59)</v>
      </c>
      <c r="E94" s="1568">
        <f>SUM(E82:E93)</f>
        <v>365</v>
      </c>
      <c r="F94" s="1569"/>
      <c r="G94" s="1569"/>
      <c r="H94" s="1570"/>
      <c r="I94" s="1571"/>
      <c r="J94" s="1568">
        <f>SUM(J82:J93)</f>
        <v>0</v>
      </c>
      <c r="K94" s="1568">
        <f>SUM(K82:K93)</f>
        <v>0</v>
      </c>
      <c r="L94" s="1572"/>
      <c r="M94" s="1571"/>
      <c r="N94" s="1568">
        <f>SUM(N82:N93)</f>
        <v>0</v>
      </c>
      <c r="O94" s="1568">
        <f>SUM(O82:O93)</f>
        <v>0</v>
      </c>
      <c r="P94" s="1568">
        <f>SUM(P82:P93)</f>
        <v>0</v>
      </c>
      <c r="Q94" s="1568">
        <f>SUM(Q82:Q93)</f>
        <v>0</v>
      </c>
      <c r="R94" s="1572"/>
      <c r="S94" s="1571"/>
    </row>
    <row r="95" spans="2:19">
      <c r="D95" s="1573"/>
      <c r="E95" s="1573"/>
      <c r="F95" s="1573"/>
      <c r="G95" s="1573"/>
      <c r="H95" s="1574"/>
      <c r="I95" s="1574"/>
      <c r="K95" s="1575"/>
      <c r="L95" s="1574"/>
      <c r="M95" s="1574"/>
      <c r="N95" s="1585"/>
      <c r="O95" s="1575"/>
      <c r="P95" s="1575"/>
      <c r="Q95" s="1575"/>
      <c r="R95" s="1574"/>
      <c r="S95" s="1574"/>
    </row>
    <row r="96" spans="2:19">
      <c r="B96" s="1554">
        <f>B94+1</f>
        <v>61</v>
      </c>
      <c r="D96" s="1199" t="s">
        <v>1650</v>
      </c>
      <c r="I96" s="1574"/>
      <c r="J96" s="1559" t="s">
        <v>1899</v>
      </c>
      <c r="L96" s="1559">
        <f>'1E - ADIT Amortization'!M73+'1E - ADIT Amortization'!M82</f>
        <v>-2853354.7571045561</v>
      </c>
      <c r="M96" s="1576"/>
      <c r="N96" s="1559" t="s">
        <v>1899</v>
      </c>
      <c r="R96" s="1559">
        <f>'1E - ADIT Amortization'!M73+'1E - ADIT Amortization'!M82</f>
        <v>-2853354.7571045561</v>
      </c>
    </row>
    <row r="97" spans="2:19">
      <c r="B97" s="1554">
        <f>B96+1</f>
        <v>62</v>
      </c>
      <c r="D97" s="1199" t="s">
        <v>1651</v>
      </c>
      <c r="I97" s="1574"/>
      <c r="J97" s="1577" t="s">
        <v>759</v>
      </c>
      <c r="L97" s="1578">
        <v>0</v>
      </c>
      <c r="M97" s="1579"/>
      <c r="N97" s="1577"/>
      <c r="R97" s="1578">
        <v>0</v>
      </c>
    </row>
    <row r="98" spans="2:19">
      <c r="B98" s="1554">
        <f>B97+1</f>
        <v>63</v>
      </c>
      <c r="D98" s="1199" t="s">
        <v>1652</v>
      </c>
      <c r="I98" s="1574"/>
      <c r="J98" s="1567" t="str">
        <f>"(Col. "&amp;L77&amp;", Line "&amp;B96&amp;" + Line "&amp;B97&amp;")"</f>
        <v>(Col. (H), Line 61 + Line 62)</v>
      </c>
      <c r="L98" s="1580">
        <f>L96+L97</f>
        <v>-2853354.7571045561</v>
      </c>
      <c r="M98" s="1574"/>
      <c r="N98" s="1567" t="str">
        <f>"(Col. "&amp;R77&amp;", Line "&amp;B96&amp;" + Line "&amp;B97&amp;")"</f>
        <v>(Col. (M), Line 61 + Line 62)</v>
      </c>
      <c r="R98" s="1580">
        <f>R96+R97</f>
        <v>-2853354.7571045561</v>
      </c>
    </row>
    <row r="99" spans="2:19">
      <c r="I99" s="1574"/>
      <c r="L99" s="1580"/>
      <c r="M99" s="1574"/>
      <c r="R99" s="1580"/>
    </row>
    <row r="100" spans="2:19">
      <c r="B100" s="1554">
        <f>B98+1</f>
        <v>64</v>
      </c>
      <c r="D100" s="1199" t="s">
        <v>1653</v>
      </c>
      <c r="I100" s="1574"/>
      <c r="J100" s="1559" t="s">
        <v>1995</v>
      </c>
      <c r="L100" s="1559">
        <f>'1E - ADIT Amortization'!Q73+'1E - ADIT Amortization'!Q82</f>
        <v>-1426677.3785522783</v>
      </c>
      <c r="M100" s="1576"/>
      <c r="N100" s="1559" t="s">
        <v>1995</v>
      </c>
      <c r="R100" s="1559">
        <f>'1E - ADIT Amortization'!Q73+'1E - ADIT Amortization'!Q82</f>
        <v>-1426677.3785522783</v>
      </c>
    </row>
    <row r="101" spans="2:19">
      <c r="B101" s="1554">
        <f>B100+1</f>
        <v>65</v>
      </c>
      <c r="D101" s="1199" t="s">
        <v>1654</v>
      </c>
      <c r="I101" s="1574"/>
      <c r="J101" s="1577" t="s">
        <v>759</v>
      </c>
      <c r="L101" s="1578">
        <v>0</v>
      </c>
      <c r="M101" s="1574"/>
      <c r="N101" s="1577"/>
      <c r="R101" s="1578">
        <v>0</v>
      </c>
    </row>
    <row r="102" spans="2:19">
      <c r="B102" s="1554">
        <f>B101+1</f>
        <v>66</v>
      </c>
      <c r="D102" s="1199" t="s">
        <v>1655</v>
      </c>
      <c r="I102" s="1574"/>
      <c r="J102" s="1567" t="str">
        <f>"(Col. "&amp;L77&amp;", Line "&amp;B100&amp;" + Line "&amp;B101&amp;")"</f>
        <v>(Col. (H), Line 64 + Line 65)</v>
      </c>
      <c r="L102" s="1580">
        <f>L100+L101</f>
        <v>-1426677.3785522783</v>
      </c>
      <c r="M102" s="1574"/>
      <c r="N102" s="1567" t="str">
        <f>"(Col. "&amp;R77&amp;", Line "&amp;B100&amp;" + Line "&amp;B101&amp;")"</f>
        <v>(Col. (M), Line 64 + Line 65)</v>
      </c>
      <c r="R102" s="1580">
        <f>R100+R101</f>
        <v>-1426677.3785522783</v>
      </c>
    </row>
    <row r="103" spans="2:19">
      <c r="I103" s="1574"/>
      <c r="L103" s="1580"/>
      <c r="M103" s="1574"/>
      <c r="R103" s="1580"/>
    </row>
    <row r="104" spans="2:19">
      <c r="B104" s="1554">
        <f>B102+1</f>
        <v>67</v>
      </c>
      <c r="D104" s="1199" t="s">
        <v>1131</v>
      </c>
      <c r="I104" s="1574"/>
      <c r="J104" s="1567" t="str">
        <f>"([Col. "&amp;L77&amp;", Line "&amp;B98&amp;" + Line "&amp;B102&amp;"] /2)"</f>
        <v>([Col. (H), Line 63 + Line 66] /2)</v>
      </c>
      <c r="L104" s="1564">
        <f>(L98+L102)/2</f>
        <v>-2140016.0678284173</v>
      </c>
      <c r="M104" s="1574"/>
      <c r="N104" s="1567" t="str">
        <f>"([Col. "&amp;R77&amp;", Line "&amp;B98&amp;" + Line "&amp;B102&amp;"] /2)"</f>
        <v>([Col. (M), Line 63 + Line 66] /2)</v>
      </c>
      <c r="R104" s="1564">
        <f>(R98+R102)/2</f>
        <v>-2140016.0678284173</v>
      </c>
    </row>
    <row r="105" spans="2:19">
      <c r="B105" s="1554">
        <f>B104+1</f>
        <v>68</v>
      </c>
      <c r="D105" s="1616" t="s">
        <v>1656</v>
      </c>
      <c r="E105" s="1573"/>
      <c r="F105" s="1573"/>
      <c r="G105" s="1573"/>
      <c r="H105" s="1574"/>
      <c r="I105" s="1574"/>
      <c r="J105" s="1567" t="str">
        <f>"(Col. "&amp;L77&amp;", Line "&amp;B93&amp;" )"</f>
        <v>(Col. (H), Line 59 )</v>
      </c>
      <c r="K105" s="1575"/>
      <c r="L105" s="1564">
        <f>L93</f>
        <v>0</v>
      </c>
      <c r="M105" s="1574"/>
      <c r="N105" s="1567" t="str">
        <f>"(Col. "&amp;R77&amp;", Line "&amp;B93&amp;" )"</f>
        <v>(Col. (M), Line 59 )</v>
      </c>
      <c r="R105" s="1564">
        <f>R93</f>
        <v>0</v>
      </c>
    </row>
    <row r="106" spans="2:19" ht="13.5" thickBot="1">
      <c r="B106" s="1554">
        <f>B105+1</f>
        <v>69</v>
      </c>
      <c r="D106" s="1581" t="s">
        <v>1661</v>
      </c>
      <c r="E106" s="1573"/>
      <c r="F106" s="1573"/>
      <c r="G106" s="1573"/>
      <c r="H106" s="1574"/>
      <c r="I106" s="1574"/>
      <c r="J106" s="1567" t="str">
        <f>"(Col. "&amp;L77&amp;", Line "&amp;B104&amp;" + Line "&amp;B105&amp;")"</f>
        <v>(Col. (H), Line 67 + Line 68)</v>
      </c>
      <c r="K106" s="1575"/>
      <c r="L106" s="1582">
        <f>L104+L105</f>
        <v>-2140016.0678284173</v>
      </c>
      <c r="M106" s="1574"/>
      <c r="N106" s="1567" t="str">
        <f>"(Col. "&amp;R77&amp;", Line "&amp;B104&amp;" + Line "&amp;B105&amp;")"</f>
        <v>(Col. (M), Line 67 + Line 68)</v>
      </c>
      <c r="R106" s="1582">
        <f>R104+R105</f>
        <v>-2140016.0678284173</v>
      </c>
    </row>
    <row r="107" spans="2:19">
      <c r="D107" s="1573"/>
      <c r="E107" s="1573"/>
      <c r="F107" s="1573"/>
      <c r="G107" s="1573"/>
      <c r="H107" s="1574"/>
      <c r="I107" s="1574"/>
      <c r="K107" s="1575"/>
      <c r="L107" s="1574"/>
      <c r="M107" s="1574"/>
      <c r="O107" s="1575"/>
      <c r="P107" s="1575"/>
      <c r="Q107" s="1575"/>
      <c r="R107" s="1574"/>
      <c r="S107" s="1574"/>
    </row>
    <row r="108" spans="2:19">
      <c r="D108" s="1573"/>
      <c r="E108" s="1573"/>
      <c r="F108" s="1573" t="s">
        <v>101</v>
      </c>
      <c r="G108" s="1573"/>
      <c r="H108" s="1574"/>
      <c r="I108" s="1574"/>
      <c r="K108" s="1575"/>
      <c r="L108" s="1574"/>
      <c r="M108" s="1574"/>
      <c r="O108" s="1575"/>
      <c r="P108" s="1575"/>
      <c r="Q108" s="1575"/>
      <c r="R108" s="1574"/>
      <c r="S108" s="1574"/>
    </row>
    <row r="109" spans="2:19">
      <c r="D109" s="1881" t="s">
        <v>1662</v>
      </c>
      <c r="E109" s="1881"/>
      <c r="F109" s="1881"/>
      <c r="G109" s="1881"/>
      <c r="H109" s="1879"/>
      <c r="I109" s="1574"/>
      <c r="J109" s="1879" t="s">
        <v>1663</v>
      </c>
      <c r="K109" s="1879"/>
      <c r="L109" s="1879"/>
      <c r="M109" s="1879"/>
      <c r="N109" s="1879"/>
      <c r="O109" s="1575"/>
      <c r="P109" s="1575"/>
      <c r="Q109" s="1575"/>
      <c r="R109" s="1574"/>
      <c r="S109" s="1574"/>
    </row>
    <row r="110" spans="2:19" ht="12.75" customHeight="1">
      <c r="B110" s="1877" t="s">
        <v>1590</v>
      </c>
      <c r="C110" s="1734"/>
      <c r="D110" s="1730" t="s">
        <v>216</v>
      </c>
      <c r="E110" s="1731"/>
      <c r="F110" s="1730" t="s">
        <v>217</v>
      </c>
      <c r="G110" s="1732"/>
      <c r="H110" s="1729" t="s">
        <v>1579</v>
      </c>
      <c r="I110" s="1555"/>
      <c r="J110" s="1730" t="s">
        <v>1580</v>
      </c>
      <c r="K110" s="1731"/>
      <c r="L110" s="1730" t="s">
        <v>1581</v>
      </c>
      <c r="M110" s="1732"/>
      <c r="N110" s="1729" t="s">
        <v>1582</v>
      </c>
    </row>
    <row r="111" spans="2:19" ht="25.5">
      <c r="B111" s="1878"/>
      <c r="C111" s="1734"/>
      <c r="D111" s="1617" t="s">
        <v>1664</v>
      </c>
      <c r="E111" s="1618"/>
      <c r="F111" s="1619" t="s">
        <v>1665</v>
      </c>
      <c r="G111" s="1620"/>
      <c r="H111" s="1621" t="s">
        <v>1666</v>
      </c>
      <c r="J111" s="1622" t="s">
        <v>1664</v>
      </c>
      <c r="K111" s="1623"/>
      <c r="L111" s="1624" t="s">
        <v>1665</v>
      </c>
      <c r="M111" s="1625"/>
      <c r="N111" s="1621" t="s">
        <v>1666</v>
      </c>
      <c r="O111" s="1575"/>
      <c r="P111" s="1575"/>
      <c r="Q111" s="1575"/>
      <c r="R111" s="1574"/>
      <c r="S111" s="1574"/>
    </row>
    <row r="112" spans="2:19" ht="5.0999999999999996" customHeight="1">
      <c r="B112" s="1199"/>
      <c r="E112" s="1573"/>
      <c r="K112" s="1573"/>
      <c r="O112" s="1575"/>
      <c r="P112" s="1575"/>
      <c r="Q112" s="1575"/>
      <c r="R112" s="1574"/>
      <c r="S112" s="1574"/>
    </row>
    <row r="113" spans="2:19">
      <c r="B113" s="1554">
        <f>B106+1</f>
        <v>70</v>
      </c>
      <c r="D113" s="1626" t="s">
        <v>1667</v>
      </c>
      <c r="F113" s="1627" t="str">
        <f>"(Col. "&amp;L11&amp;", Line "&amp;B40&amp;")"</f>
        <v>(Col. (H), Line 23)</v>
      </c>
      <c r="G113" s="1628"/>
      <c r="H113" s="1629">
        <f>L40</f>
        <v>1485015.2070138596</v>
      </c>
      <c r="I113" s="1628"/>
      <c r="J113" s="1626" t="s">
        <v>1667</v>
      </c>
      <c r="L113" s="1627" t="str">
        <f>"(Col. "&amp;R11&amp;", Line "&amp;B40&amp;")"</f>
        <v>(Col. (M), Line 23)</v>
      </c>
      <c r="M113" s="1628"/>
      <c r="N113" s="1629">
        <f>R40</f>
        <v>1485015.2070138596</v>
      </c>
      <c r="O113" s="1575"/>
      <c r="P113" s="1575"/>
      <c r="Q113" s="1575"/>
      <c r="R113" s="1574"/>
      <c r="S113" s="1574"/>
    </row>
    <row r="114" spans="2:19">
      <c r="B114" s="1554">
        <f>B113+1</f>
        <v>71</v>
      </c>
      <c r="D114" s="1626" t="s">
        <v>1668</v>
      </c>
      <c r="F114" s="1627" t="str">
        <f>"(Col. "&amp;L44&amp;", Line "&amp;B73&amp;")"</f>
        <v>(Col. (H), Line 46)</v>
      </c>
      <c r="H114" s="1630">
        <f>L73</f>
        <v>-76197900.576390356</v>
      </c>
      <c r="J114" s="1626" t="s">
        <v>1668</v>
      </c>
      <c r="L114" s="1627" t="str">
        <f>"(Col. "&amp;R44&amp;", Line "&amp;B73&amp;")"</f>
        <v>(Col. (M), Line 46)</v>
      </c>
      <c r="N114" s="1630">
        <f>R73</f>
        <v>-76222355.044848323</v>
      </c>
      <c r="O114" s="1575"/>
      <c r="P114" s="1575"/>
      <c r="Q114" s="1575"/>
      <c r="R114" s="1574"/>
      <c r="S114" s="1574"/>
    </row>
    <row r="115" spans="2:19">
      <c r="B115" s="1554">
        <f>B114+1</f>
        <v>72</v>
      </c>
      <c r="D115" s="1626" t="s">
        <v>1669</v>
      </c>
      <c r="F115" s="1627" t="str">
        <f>"(Col. "&amp;L77&amp;", Line "&amp;B106&amp;")"</f>
        <v>(Col. (H), Line 69)</v>
      </c>
      <c r="H115" s="1630">
        <f>L106</f>
        <v>-2140016.0678284173</v>
      </c>
      <c r="J115" s="1626" t="s">
        <v>1669</v>
      </c>
      <c r="L115" s="1627" t="str">
        <f>"(Col. "&amp;R77&amp;", Line "&amp;B106&amp;")"</f>
        <v>(Col. (M), Line 69)</v>
      </c>
      <c r="N115" s="1630">
        <f>R106</f>
        <v>-2140016.0678284173</v>
      </c>
      <c r="O115" s="1575"/>
      <c r="P115" s="1575"/>
      <c r="Q115" s="1575"/>
      <c r="R115" s="1574"/>
      <c r="S115" s="1574"/>
    </row>
    <row r="116" spans="2:19" ht="5.0999999999999996" customHeight="1">
      <c r="D116" s="1573"/>
      <c r="E116" s="1573"/>
      <c r="J116" s="1573"/>
      <c r="K116" s="1573"/>
      <c r="O116" s="1575"/>
      <c r="P116" s="1575"/>
      <c r="Q116" s="1575"/>
      <c r="R116" s="1574"/>
      <c r="S116" s="1574"/>
    </row>
    <row r="117" spans="2:19">
      <c r="B117" s="1554">
        <f>B115+1</f>
        <v>73</v>
      </c>
      <c r="D117" s="14" t="s">
        <v>1459</v>
      </c>
      <c r="E117" s="1573"/>
      <c r="F117" s="1627" t="s">
        <v>1893</v>
      </c>
      <c r="G117" s="1631"/>
      <c r="H117" s="1632">
        <f>SUM(H113:H116)</f>
        <v>-76852901.437204912</v>
      </c>
      <c r="I117" s="1631"/>
      <c r="J117" s="14" t="s">
        <v>1459</v>
      </c>
      <c r="K117" s="1573"/>
      <c r="L117" s="1633" t="s">
        <v>1893</v>
      </c>
      <c r="M117" s="1631"/>
      <c r="N117" s="1632">
        <f>SUM(N113:N116)</f>
        <v>-76877355.905662879</v>
      </c>
      <c r="O117" s="1575"/>
      <c r="P117" s="1575"/>
      <c r="Q117" s="1575"/>
      <c r="R117" s="1574"/>
      <c r="S117" s="1574"/>
    </row>
    <row r="118" spans="2:19">
      <c r="D118" s="1573"/>
      <c r="E118" s="1573"/>
      <c r="F118" s="1573"/>
      <c r="G118" s="1573"/>
      <c r="H118" s="1573"/>
      <c r="I118" s="1574"/>
      <c r="J118" s="1575"/>
      <c r="K118" s="1575"/>
      <c r="L118" s="1574"/>
      <c r="M118" s="1574"/>
      <c r="O118" s="1575"/>
      <c r="P118" s="1575"/>
      <c r="Q118" s="1575"/>
      <c r="R118" s="1574"/>
      <c r="S118" s="1574"/>
    </row>
    <row r="119" spans="2:19">
      <c r="D119" s="1573"/>
      <c r="E119" s="1573"/>
      <c r="F119" s="1573"/>
      <c r="G119" s="1573"/>
      <c r="H119" s="1574"/>
      <c r="I119" s="1574"/>
      <c r="K119" s="1575"/>
      <c r="L119" s="1574"/>
      <c r="M119" s="1574"/>
      <c r="O119" s="1575"/>
      <c r="P119" s="1575"/>
      <c r="Q119" s="1575"/>
      <c r="R119" s="1574"/>
      <c r="S119" s="1574"/>
    </row>
    <row r="120" spans="2:19" ht="15.75" customHeight="1">
      <c r="B120" s="1880" t="s">
        <v>1670</v>
      </c>
      <c r="C120" s="1880"/>
      <c r="D120" s="1880"/>
      <c r="E120" s="1880"/>
      <c r="F120" s="1880"/>
      <c r="G120" s="1880"/>
      <c r="H120" s="1880"/>
      <c r="I120" s="1880"/>
      <c r="J120" s="1880"/>
      <c r="K120" s="1880"/>
      <c r="L120" s="1880"/>
      <c r="M120" s="1880"/>
      <c r="N120" s="1880"/>
      <c r="O120" s="1880"/>
      <c r="P120" s="1880"/>
      <c r="Q120" s="1880"/>
      <c r="R120" s="1880"/>
    </row>
    <row r="121" spans="2:19">
      <c r="D121" s="1551"/>
    </row>
    <row r="122" spans="2:19">
      <c r="D122" s="1551" t="s">
        <v>1646</v>
      </c>
      <c r="J122" s="1862"/>
      <c r="K122" s="1862"/>
      <c r="L122" s="1862"/>
      <c r="N122" s="1862"/>
      <c r="O122" s="1862"/>
      <c r="P122" s="1862"/>
      <c r="Q122" s="1862"/>
      <c r="R122" s="1862"/>
    </row>
    <row r="123" spans="2:19">
      <c r="D123" s="1863" t="s">
        <v>1041</v>
      </c>
      <c r="E123" s="1864"/>
      <c r="F123" s="1864"/>
      <c r="G123" s="1864"/>
      <c r="H123" s="1865"/>
      <c r="I123" s="1555"/>
      <c r="J123" s="1866" t="s">
        <v>1647</v>
      </c>
      <c r="K123" s="1867"/>
      <c r="L123" s="1868"/>
      <c r="M123" s="1555"/>
      <c r="N123" s="1866" t="s">
        <v>1648</v>
      </c>
      <c r="O123" s="1867"/>
      <c r="P123" s="1867"/>
      <c r="Q123" s="1867"/>
      <c r="R123" s="1868"/>
      <c r="S123" s="1555"/>
    </row>
    <row r="124" spans="2:19">
      <c r="D124" s="1556" t="s">
        <v>216</v>
      </c>
      <c r="E124" s="1556" t="s">
        <v>217</v>
      </c>
      <c r="F124" s="1556" t="s">
        <v>1579</v>
      </c>
      <c r="G124" s="1556" t="s">
        <v>1580</v>
      </c>
      <c r="H124" s="1556" t="s">
        <v>1581</v>
      </c>
      <c r="I124" s="1555"/>
      <c r="J124" s="1556" t="s">
        <v>1582</v>
      </c>
      <c r="K124" s="1556" t="s">
        <v>1583</v>
      </c>
      <c r="L124" s="1556" t="s">
        <v>1584</v>
      </c>
      <c r="M124" s="1555"/>
      <c r="N124" s="1556" t="s">
        <v>1585</v>
      </c>
      <c r="O124" s="1556" t="s">
        <v>1586</v>
      </c>
      <c r="P124" s="1556" t="s">
        <v>1587</v>
      </c>
      <c r="Q124" s="1556" t="s">
        <v>1588</v>
      </c>
      <c r="R124" s="1556" t="s">
        <v>1589</v>
      </c>
      <c r="S124" s="1555"/>
    </row>
    <row r="125" spans="2:19" ht="63" customHeight="1">
      <c r="B125" s="1557" t="s">
        <v>1590</v>
      </c>
      <c r="D125" s="1558" t="s">
        <v>211</v>
      </c>
      <c r="E125" s="1558" t="s">
        <v>1042</v>
      </c>
      <c r="F125" s="1558" t="s">
        <v>1136</v>
      </c>
      <c r="G125" s="1558" t="s">
        <v>1135</v>
      </c>
      <c r="H125" s="1558" t="s">
        <v>1591</v>
      </c>
      <c r="I125" s="1736"/>
      <c r="J125" s="1558" t="s">
        <v>1045</v>
      </c>
      <c r="K125" s="1558" t="s">
        <v>1592</v>
      </c>
      <c r="L125" s="1558" t="s">
        <v>1593</v>
      </c>
      <c r="M125" s="1736"/>
      <c r="N125" s="1558" t="s">
        <v>1134</v>
      </c>
      <c r="O125" s="1558" t="s">
        <v>1594</v>
      </c>
      <c r="P125" s="1558" t="s">
        <v>1595</v>
      </c>
      <c r="Q125" s="1558" t="s">
        <v>1596</v>
      </c>
      <c r="R125" s="1558" t="s">
        <v>1597</v>
      </c>
      <c r="S125" s="1736"/>
    </row>
    <row r="126" spans="2:19">
      <c r="E126" s="1736"/>
      <c r="F126" s="1736"/>
      <c r="G126" s="1736"/>
      <c r="H126" s="1736"/>
      <c r="I126" s="1736"/>
      <c r="J126" s="1736"/>
      <c r="K126" s="1736"/>
      <c r="L126" s="1736"/>
      <c r="M126" s="1736"/>
      <c r="N126" s="1736"/>
      <c r="O126" s="1736"/>
      <c r="P126" s="1736"/>
      <c r="Q126" s="1736"/>
      <c r="R126" s="1736"/>
      <c r="S126" s="1736"/>
    </row>
    <row r="127" spans="2:19">
      <c r="B127" s="1554">
        <f>B117+1</f>
        <v>74</v>
      </c>
      <c r="D127" s="1199" t="s">
        <v>1649</v>
      </c>
      <c r="E127" s="1736"/>
      <c r="F127" s="1736"/>
      <c r="G127" s="1736"/>
      <c r="H127" s="1736"/>
      <c r="I127" s="1736"/>
      <c r="J127" s="1559" t="s">
        <v>1899</v>
      </c>
      <c r="K127" s="1736"/>
      <c r="L127" s="1559">
        <f>'1E - ADIT Amortization'!M372</f>
        <v>0</v>
      </c>
      <c r="M127" s="1736"/>
      <c r="N127" s="1559" t="s">
        <v>1899</v>
      </c>
      <c r="O127" s="1736"/>
      <c r="P127" s="1736"/>
      <c r="Q127" s="1736"/>
      <c r="R127" s="1559">
        <v>0</v>
      </c>
      <c r="S127" s="1736"/>
    </row>
    <row r="128" spans="2:19">
      <c r="E128" s="1736"/>
      <c r="F128" s="1736"/>
      <c r="G128" s="1736"/>
      <c r="H128" s="1736"/>
      <c r="I128" s="1736"/>
      <c r="J128" s="1736"/>
      <c r="K128" s="1736"/>
      <c r="L128" s="1736"/>
      <c r="M128" s="1736"/>
      <c r="N128" s="1736"/>
      <c r="O128" s="1736"/>
      <c r="P128" s="1736"/>
      <c r="Q128" s="1736"/>
      <c r="R128" s="1736"/>
      <c r="S128" s="1736"/>
    </row>
    <row r="129" spans="2:19">
      <c r="B129" s="1554">
        <f>B127+1</f>
        <v>75</v>
      </c>
      <c r="D129" s="1560" t="s">
        <v>636</v>
      </c>
      <c r="E129" s="1559">
        <v>31</v>
      </c>
      <c r="F129" s="1561">
        <v>0</v>
      </c>
      <c r="G129" s="1561">
        <v>214</v>
      </c>
      <c r="H129" s="1562">
        <f t="shared" ref="H129:H140" si="30">IF(F129=0,0.5,F129/G129)</f>
        <v>0.5</v>
      </c>
      <c r="I129" s="1563"/>
      <c r="J129" s="1559">
        <v>0</v>
      </c>
      <c r="K129" s="1564">
        <f t="shared" ref="K129:K136" si="31">+J129*H129</f>
        <v>0</v>
      </c>
      <c r="L129" s="1564">
        <f>+K129+L127</f>
        <v>0</v>
      </c>
      <c r="M129" s="1563"/>
      <c r="N129" s="1559">
        <v>0</v>
      </c>
      <c r="O129" s="1564">
        <f>IF($D$237="True-Up Adjustment",N129-J129,0)</f>
        <v>0</v>
      </c>
      <c r="P129" s="1564">
        <f>IF($D$237="True-Up Adjustment",IF(AND(J129&gt;=0,N129&gt;=0),IF(O129&gt;=0,K129+O129,N129/J129*K129),IF(AND(J129&lt;0,N129&lt;0),IF(O129&lt;0,K129+O129,N129/J129*K129),0)),0)</f>
        <v>0</v>
      </c>
      <c r="Q129" s="1564">
        <f t="shared" ref="Q129:Q140" si="32">IF(AND(J129&gt;=0,N129&lt;0),N129,IF(AND(J129&lt;0,N129&gt;=0),N129,0))</f>
        <v>0</v>
      </c>
      <c r="R129" s="1564">
        <f>+Q129+R127</f>
        <v>0</v>
      </c>
      <c r="S129" s="1563"/>
    </row>
    <row r="130" spans="2:19">
      <c r="B130" s="1554">
        <f t="shared" ref="B130:B141" si="33">+B129+1</f>
        <v>76</v>
      </c>
      <c r="D130" s="1560" t="s">
        <v>637</v>
      </c>
      <c r="E130" s="1559">
        <v>28</v>
      </c>
      <c r="F130" s="1561">
        <v>0</v>
      </c>
      <c r="G130" s="1561">
        <f t="shared" ref="G130:G140" si="34">G129</f>
        <v>214</v>
      </c>
      <c r="H130" s="1562">
        <f t="shared" si="30"/>
        <v>0.5</v>
      </c>
      <c r="I130" s="1563"/>
      <c r="J130" s="1559">
        <v>0</v>
      </c>
      <c r="K130" s="1564">
        <f t="shared" si="31"/>
        <v>0</v>
      </c>
      <c r="L130" s="1564">
        <f t="shared" ref="L130:L140" si="35">+K130+L129</f>
        <v>0</v>
      </c>
      <c r="M130" s="1563"/>
      <c r="N130" s="1559">
        <v>0</v>
      </c>
      <c r="O130" s="1564">
        <f t="shared" ref="O130:O140" si="36">IF($D$237="True-Up Adjustment",N130-J130,0)</f>
        <v>0</v>
      </c>
      <c r="P130" s="1564">
        <f t="shared" ref="P130:P140" si="37">IF($D$237="True-Up Adjustment",IF(AND(J130&gt;=0,N130&gt;=0),IF(O130&gt;=0,K130+O130,N130/J130*K130),IF(AND(J130&lt;0,N130&lt;0),IF(O130&lt;0,K130+O130,N130/J130*K130),0)),0)</f>
        <v>0</v>
      </c>
      <c r="Q130" s="1564">
        <f t="shared" si="32"/>
        <v>0</v>
      </c>
      <c r="R130" s="1564">
        <f t="shared" ref="R130:R140" si="38">R129+P130+Q130</f>
        <v>0</v>
      </c>
      <c r="S130" s="1563"/>
    </row>
    <row r="131" spans="2:19">
      <c r="B131" s="1554">
        <f t="shared" si="33"/>
        <v>77</v>
      </c>
      <c r="D131" s="1560" t="s">
        <v>664</v>
      </c>
      <c r="E131" s="1559">
        <v>31</v>
      </c>
      <c r="F131" s="1561">
        <v>0</v>
      </c>
      <c r="G131" s="1561">
        <f t="shared" si="34"/>
        <v>214</v>
      </c>
      <c r="H131" s="1562">
        <f t="shared" si="30"/>
        <v>0.5</v>
      </c>
      <c r="I131" s="1563"/>
      <c r="J131" s="1559">
        <v>0</v>
      </c>
      <c r="K131" s="1564">
        <f t="shared" si="31"/>
        <v>0</v>
      </c>
      <c r="L131" s="1564">
        <f t="shared" si="35"/>
        <v>0</v>
      </c>
      <c r="M131" s="1563"/>
      <c r="N131" s="1559">
        <v>0</v>
      </c>
      <c r="O131" s="1564">
        <f t="shared" si="36"/>
        <v>0</v>
      </c>
      <c r="P131" s="1564">
        <f t="shared" si="37"/>
        <v>0</v>
      </c>
      <c r="Q131" s="1564">
        <f t="shared" si="32"/>
        <v>0</v>
      </c>
      <c r="R131" s="1564">
        <f t="shared" si="38"/>
        <v>0</v>
      </c>
      <c r="S131" s="1563"/>
    </row>
    <row r="132" spans="2:19">
      <c r="B132" s="1554">
        <f t="shared" si="33"/>
        <v>78</v>
      </c>
      <c r="D132" s="1560" t="s">
        <v>213</v>
      </c>
      <c r="E132" s="1559">
        <v>30</v>
      </c>
      <c r="F132" s="1561">
        <v>0</v>
      </c>
      <c r="G132" s="1561">
        <f t="shared" si="34"/>
        <v>214</v>
      </c>
      <c r="H132" s="1562">
        <f t="shared" si="30"/>
        <v>0.5</v>
      </c>
      <c r="I132" s="1563"/>
      <c r="J132" s="1559">
        <v>0</v>
      </c>
      <c r="K132" s="1564">
        <f t="shared" si="31"/>
        <v>0</v>
      </c>
      <c r="L132" s="1564">
        <f t="shared" si="35"/>
        <v>0</v>
      </c>
      <c r="M132" s="1563"/>
      <c r="N132" s="1559">
        <v>0</v>
      </c>
      <c r="O132" s="1564">
        <f t="shared" si="36"/>
        <v>0</v>
      </c>
      <c r="P132" s="1564">
        <f t="shared" si="37"/>
        <v>0</v>
      </c>
      <c r="Q132" s="1564">
        <f t="shared" si="32"/>
        <v>0</v>
      </c>
      <c r="R132" s="1564">
        <f t="shared" si="38"/>
        <v>0</v>
      </c>
      <c r="S132" s="1563"/>
    </row>
    <row r="133" spans="2:19">
      <c r="B133" s="1554">
        <f t="shared" si="33"/>
        <v>79</v>
      </c>
      <c r="D133" s="1560" t="s">
        <v>214</v>
      </c>
      <c r="E133" s="1559">
        <v>31</v>
      </c>
      <c r="F133" s="1561">
        <v>0</v>
      </c>
      <c r="G133" s="1561">
        <f t="shared" si="34"/>
        <v>214</v>
      </c>
      <c r="H133" s="1562">
        <f t="shared" si="30"/>
        <v>0.5</v>
      </c>
      <c r="I133" s="1563"/>
      <c r="J133" s="1559">
        <v>0</v>
      </c>
      <c r="K133" s="1564">
        <f t="shared" si="31"/>
        <v>0</v>
      </c>
      <c r="L133" s="1564">
        <f t="shared" si="35"/>
        <v>0</v>
      </c>
      <c r="M133" s="1563"/>
      <c r="N133" s="1559">
        <v>0</v>
      </c>
      <c r="O133" s="1564">
        <f t="shared" si="36"/>
        <v>0</v>
      </c>
      <c r="P133" s="1564">
        <f t="shared" si="37"/>
        <v>0</v>
      </c>
      <c r="Q133" s="1564">
        <f t="shared" si="32"/>
        <v>0</v>
      </c>
      <c r="R133" s="1564">
        <f t="shared" si="38"/>
        <v>0</v>
      </c>
      <c r="S133" s="1563"/>
    </row>
    <row r="134" spans="2:19">
      <c r="B134" s="1554">
        <f t="shared" si="33"/>
        <v>80</v>
      </c>
      <c r="D134" s="1560" t="s">
        <v>215</v>
      </c>
      <c r="E134" s="1559">
        <v>30</v>
      </c>
      <c r="F134" s="1561">
        <f t="shared" ref="F134:F139" si="39">E135+F135</f>
        <v>185</v>
      </c>
      <c r="G134" s="1561">
        <f t="shared" si="34"/>
        <v>214</v>
      </c>
      <c r="H134" s="1562">
        <f t="shared" si="30"/>
        <v>0.86448598130841126</v>
      </c>
      <c r="I134" s="1563"/>
      <c r="J134" s="1559">
        <v>0</v>
      </c>
      <c r="K134" s="1564">
        <f t="shared" si="31"/>
        <v>0</v>
      </c>
      <c r="L134" s="1564">
        <f t="shared" si="35"/>
        <v>0</v>
      </c>
      <c r="M134" s="1563"/>
      <c r="N134" s="1559">
        <v>0</v>
      </c>
      <c r="O134" s="1564">
        <f t="shared" si="36"/>
        <v>0</v>
      </c>
      <c r="P134" s="1564">
        <f t="shared" si="37"/>
        <v>0</v>
      </c>
      <c r="Q134" s="1564">
        <f t="shared" si="32"/>
        <v>0</v>
      </c>
      <c r="R134" s="1564">
        <f t="shared" si="38"/>
        <v>0</v>
      </c>
      <c r="S134" s="1563"/>
    </row>
    <row r="135" spans="2:19">
      <c r="B135" s="1554">
        <f t="shared" si="33"/>
        <v>81</v>
      </c>
      <c r="D135" s="1560" t="s">
        <v>639</v>
      </c>
      <c r="E135" s="1559">
        <v>31</v>
      </c>
      <c r="F135" s="1561">
        <f t="shared" si="39"/>
        <v>154</v>
      </c>
      <c r="G135" s="1561">
        <f t="shared" si="34"/>
        <v>214</v>
      </c>
      <c r="H135" s="1562">
        <f t="shared" si="30"/>
        <v>0.71962616822429903</v>
      </c>
      <c r="I135" s="1563"/>
      <c r="J135" s="1559">
        <v>0</v>
      </c>
      <c r="K135" s="1564">
        <f t="shared" si="31"/>
        <v>0</v>
      </c>
      <c r="L135" s="1564">
        <f t="shared" si="35"/>
        <v>0</v>
      </c>
      <c r="M135" s="1563"/>
      <c r="N135" s="1559">
        <v>0</v>
      </c>
      <c r="O135" s="1564">
        <f t="shared" si="36"/>
        <v>0</v>
      </c>
      <c r="P135" s="1564">
        <f t="shared" si="37"/>
        <v>0</v>
      </c>
      <c r="Q135" s="1564">
        <f t="shared" si="32"/>
        <v>0</v>
      </c>
      <c r="R135" s="1564">
        <f t="shared" si="38"/>
        <v>0</v>
      </c>
      <c r="S135" s="1563"/>
    </row>
    <row r="136" spans="2:19">
      <c r="B136" s="1554">
        <f t="shared" si="33"/>
        <v>82</v>
      </c>
      <c r="D136" s="1560" t="s">
        <v>665</v>
      </c>
      <c r="E136" s="1559">
        <v>31</v>
      </c>
      <c r="F136" s="1561">
        <f t="shared" si="39"/>
        <v>123</v>
      </c>
      <c r="G136" s="1561">
        <f t="shared" si="34"/>
        <v>214</v>
      </c>
      <c r="H136" s="1562">
        <f t="shared" si="30"/>
        <v>0.57476635514018692</v>
      </c>
      <c r="I136" s="1563"/>
      <c r="J136" s="1559">
        <v>0</v>
      </c>
      <c r="K136" s="1564">
        <f t="shared" si="31"/>
        <v>0</v>
      </c>
      <c r="L136" s="1564">
        <f t="shared" si="35"/>
        <v>0</v>
      </c>
      <c r="M136" s="1563"/>
      <c r="N136" s="1559">
        <v>0</v>
      </c>
      <c r="O136" s="1564">
        <f t="shared" si="36"/>
        <v>0</v>
      </c>
      <c r="P136" s="1564">
        <f t="shared" si="37"/>
        <v>0</v>
      </c>
      <c r="Q136" s="1564">
        <f t="shared" si="32"/>
        <v>0</v>
      </c>
      <c r="R136" s="1564">
        <f t="shared" si="38"/>
        <v>0</v>
      </c>
      <c r="S136" s="1563"/>
    </row>
    <row r="137" spans="2:19">
      <c r="B137" s="1554">
        <f t="shared" si="33"/>
        <v>83</v>
      </c>
      <c r="D137" s="1560" t="s">
        <v>641</v>
      </c>
      <c r="E137" s="1559">
        <v>30</v>
      </c>
      <c r="F137" s="1561">
        <f t="shared" si="39"/>
        <v>93</v>
      </c>
      <c r="G137" s="1561">
        <f t="shared" si="34"/>
        <v>214</v>
      </c>
      <c r="H137" s="1562">
        <f t="shared" si="30"/>
        <v>0.43457943925233644</v>
      </c>
      <c r="I137" s="1563"/>
      <c r="J137" s="1559">
        <v>0</v>
      </c>
      <c r="K137" s="1564">
        <f>+J137*H137</f>
        <v>0</v>
      </c>
      <c r="L137" s="1564">
        <f t="shared" si="35"/>
        <v>0</v>
      </c>
      <c r="M137" s="1563"/>
      <c r="N137" s="1559">
        <v>0</v>
      </c>
      <c r="O137" s="1564">
        <f t="shared" si="36"/>
        <v>0</v>
      </c>
      <c r="P137" s="1564">
        <f t="shared" si="37"/>
        <v>0</v>
      </c>
      <c r="Q137" s="1564">
        <f t="shared" si="32"/>
        <v>0</v>
      </c>
      <c r="R137" s="1564">
        <f t="shared" si="38"/>
        <v>0</v>
      </c>
      <c r="S137" s="1563"/>
    </row>
    <row r="138" spans="2:19">
      <c r="B138" s="1554">
        <f t="shared" si="33"/>
        <v>84</v>
      </c>
      <c r="D138" s="1560" t="s">
        <v>642</v>
      </c>
      <c r="E138" s="1559">
        <v>31</v>
      </c>
      <c r="F138" s="1561">
        <f t="shared" si="39"/>
        <v>62</v>
      </c>
      <c r="G138" s="1561">
        <f t="shared" si="34"/>
        <v>214</v>
      </c>
      <c r="H138" s="1562">
        <f t="shared" si="30"/>
        <v>0.28971962616822428</v>
      </c>
      <c r="I138" s="1563"/>
      <c r="J138" s="1559">
        <v>0</v>
      </c>
      <c r="K138" s="1564">
        <f t="shared" ref="K138:K140" si="40">+J138*H138</f>
        <v>0</v>
      </c>
      <c r="L138" s="1564">
        <f t="shared" si="35"/>
        <v>0</v>
      </c>
      <c r="M138" s="1563"/>
      <c r="N138" s="1559">
        <v>0</v>
      </c>
      <c r="O138" s="1564">
        <f t="shared" si="36"/>
        <v>0</v>
      </c>
      <c r="P138" s="1564">
        <f t="shared" si="37"/>
        <v>0</v>
      </c>
      <c r="Q138" s="1564">
        <f t="shared" si="32"/>
        <v>0</v>
      </c>
      <c r="R138" s="1564">
        <f t="shared" si="38"/>
        <v>0</v>
      </c>
      <c r="S138" s="1563"/>
    </row>
    <row r="139" spans="2:19">
      <c r="B139" s="1554">
        <f t="shared" si="33"/>
        <v>85</v>
      </c>
      <c r="D139" s="1560" t="s">
        <v>643</v>
      </c>
      <c r="E139" s="1559">
        <v>30</v>
      </c>
      <c r="F139" s="1561">
        <f t="shared" si="39"/>
        <v>32</v>
      </c>
      <c r="G139" s="1561">
        <f t="shared" si="34"/>
        <v>214</v>
      </c>
      <c r="H139" s="1562">
        <f t="shared" si="30"/>
        <v>0.14953271028037382</v>
      </c>
      <c r="I139" s="1563"/>
      <c r="J139" s="1559">
        <v>0</v>
      </c>
      <c r="K139" s="1564">
        <f t="shared" si="40"/>
        <v>0</v>
      </c>
      <c r="L139" s="1564">
        <f t="shared" si="35"/>
        <v>0</v>
      </c>
      <c r="M139" s="1563"/>
      <c r="N139" s="1559">
        <v>0</v>
      </c>
      <c r="O139" s="1564">
        <f t="shared" si="36"/>
        <v>0</v>
      </c>
      <c r="P139" s="1564">
        <f t="shared" si="37"/>
        <v>0</v>
      </c>
      <c r="Q139" s="1564">
        <f t="shared" si="32"/>
        <v>0</v>
      </c>
      <c r="R139" s="1564">
        <f t="shared" si="38"/>
        <v>0</v>
      </c>
      <c r="S139" s="1563"/>
    </row>
    <row r="140" spans="2:19">
      <c r="B140" s="1554">
        <f t="shared" si="33"/>
        <v>86</v>
      </c>
      <c r="D140" s="1565" t="s">
        <v>869</v>
      </c>
      <c r="E140" s="1559">
        <v>31</v>
      </c>
      <c r="F140" s="1566">
        <v>1</v>
      </c>
      <c r="G140" s="1561">
        <f t="shared" si="34"/>
        <v>214</v>
      </c>
      <c r="H140" s="1562">
        <f t="shared" si="30"/>
        <v>4.6728971962616819E-3</v>
      </c>
      <c r="I140" s="1563"/>
      <c r="J140" s="1559">
        <v>0</v>
      </c>
      <c r="K140" s="1564">
        <f t="shared" si="40"/>
        <v>0</v>
      </c>
      <c r="L140" s="1564">
        <f t="shared" si="35"/>
        <v>0</v>
      </c>
      <c r="M140" s="1563"/>
      <c r="N140" s="1559">
        <v>0</v>
      </c>
      <c r="O140" s="1564">
        <f t="shared" si="36"/>
        <v>0</v>
      </c>
      <c r="P140" s="1564">
        <f t="shared" si="37"/>
        <v>0</v>
      </c>
      <c r="Q140" s="1564">
        <f t="shared" si="32"/>
        <v>0</v>
      </c>
      <c r="R140" s="1564">
        <f t="shared" si="38"/>
        <v>0</v>
      </c>
      <c r="S140" s="1563"/>
    </row>
    <row r="141" spans="2:19">
      <c r="B141" s="1554">
        <f t="shared" si="33"/>
        <v>87</v>
      </c>
      <c r="D141" s="1567" t="str">
        <f>"Total (Sum of Lines "&amp;B129&amp;" - "&amp;B140&amp;")"</f>
        <v>Total (Sum of Lines 75 - 86)</v>
      </c>
      <c r="E141" s="1568">
        <f>SUM(E129:E140)</f>
        <v>365</v>
      </c>
      <c r="F141" s="1569"/>
      <c r="G141" s="1569"/>
      <c r="H141" s="1570"/>
      <c r="I141" s="1571"/>
      <c r="J141" s="1568">
        <f>SUM(J129:J140)</f>
        <v>0</v>
      </c>
      <c r="K141" s="1568">
        <f>SUM(K129:K140)</f>
        <v>0</v>
      </c>
      <c r="L141" s="1572"/>
      <c r="M141" s="1571"/>
      <c r="N141" s="1568">
        <f>SUM(N129:N140)</f>
        <v>0</v>
      </c>
      <c r="O141" s="1568">
        <f>SUM(O129:O140)</f>
        <v>0</v>
      </c>
      <c r="P141" s="1568">
        <f>SUM(P129:P140)</f>
        <v>0</v>
      </c>
      <c r="Q141" s="1568">
        <f>SUM(Q129:Q140)</f>
        <v>0</v>
      </c>
      <c r="R141" s="1572"/>
      <c r="S141" s="1571"/>
    </row>
    <row r="142" spans="2:19">
      <c r="D142" s="1573"/>
      <c r="E142" s="1573"/>
      <c r="F142" s="1573"/>
      <c r="G142" s="1573"/>
      <c r="H142" s="1574"/>
      <c r="I142" s="1574"/>
      <c r="K142" s="1575"/>
      <c r="L142" s="1574"/>
      <c r="M142" s="1574"/>
      <c r="O142" s="1575"/>
      <c r="P142" s="1575"/>
      <c r="Q142" s="1575"/>
      <c r="R142" s="1574"/>
      <c r="S142" s="1574"/>
    </row>
    <row r="143" spans="2:19">
      <c r="B143" s="1554">
        <f>B141+1</f>
        <v>88</v>
      </c>
      <c r="D143" s="1199" t="s">
        <v>1650</v>
      </c>
      <c r="I143" s="1574"/>
      <c r="J143" s="1559" t="s">
        <v>1899</v>
      </c>
      <c r="L143" s="1559">
        <f>'1E - ADIT Amortization'!M354+'1E - ADIT Amortization'!M363</f>
        <v>-325853.875</v>
      </c>
      <c r="M143" s="1576"/>
      <c r="N143" s="1559" t="s">
        <v>1899</v>
      </c>
      <c r="R143" s="1559">
        <f>'1E - ADIT Amortization'!M354+'1E - ADIT Amortization'!M363</f>
        <v>-325853.875</v>
      </c>
    </row>
    <row r="144" spans="2:19">
      <c r="B144" s="1554">
        <f>B143+1</f>
        <v>89</v>
      </c>
      <c r="D144" s="1199" t="s">
        <v>1651</v>
      </c>
      <c r="I144" s="1574"/>
      <c r="J144" s="1577" t="s">
        <v>759</v>
      </c>
      <c r="L144" s="1578">
        <v>0</v>
      </c>
      <c r="M144" s="1579"/>
      <c r="N144" s="1577"/>
      <c r="R144" s="1578">
        <v>0</v>
      </c>
    </row>
    <row r="145" spans="2:19">
      <c r="B145" s="1554">
        <f>B144+1</f>
        <v>90</v>
      </c>
      <c r="D145" s="1199" t="s">
        <v>1652</v>
      </c>
      <c r="I145" s="1574"/>
      <c r="J145" s="1567" t="str">
        <f>"(Col. "&amp;L124&amp;", Line "&amp;B143&amp;" + Line "&amp;B144&amp;")"</f>
        <v>(Col. (H), Line 88 + Line 89)</v>
      </c>
      <c r="L145" s="1580">
        <f>L143+L144</f>
        <v>-325853.875</v>
      </c>
      <c r="M145" s="1574"/>
      <c r="N145" s="1567" t="str">
        <f>"(Col. "&amp;R124&amp;", Line "&amp;B143&amp;" + Line "&amp;B144&amp;")"</f>
        <v>(Col. (M), Line 88 + Line 89)</v>
      </c>
      <c r="R145" s="1580">
        <f>R143+R144</f>
        <v>-325853.875</v>
      </c>
    </row>
    <row r="146" spans="2:19">
      <c r="I146" s="1574"/>
      <c r="L146" s="1580"/>
      <c r="M146" s="1574"/>
      <c r="R146" s="1580"/>
    </row>
    <row r="147" spans="2:19">
      <c r="B147" s="1554">
        <f>B145+1</f>
        <v>91</v>
      </c>
      <c r="D147" s="1199" t="s">
        <v>1653</v>
      </c>
      <c r="I147" s="1574"/>
      <c r="J147" s="1559" t="s">
        <v>1995</v>
      </c>
      <c r="L147" s="1559">
        <f>'1E - ADIT Amortization'!Q354+'1E - ADIT Amortization'!Q363</f>
        <v>-207361.625</v>
      </c>
      <c r="M147" s="1576"/>
      <c r="N147" s="1559" t="s">
        <v>1995</v>
      </c>
      <c r="R147" s="1559">
        <f>'1E - ADIT Amortization'!Q354+'1E - ADIT Amortization'!Q363</f>
        <v>-207361.625</v>
      </c>
    </row>
    <row r="148" spans="2:19">
      <c r="B148" s="1554">
        <f>B147+1</f>
        <v>92</v>
      </c>
      <c r="D148" s="1199" t="s">
        <v>1654</v>
      </c>
      <c r="I148" s="1574"/>
      <c r="J148" s="1577" t="s">
        <v>759</v>
      </c>
      <c r="L148" s="1578">
        <v>0</v>
      </c>
      <c r="M148" s="1574"/>
      <c r="N148" s="1577"/>
      <c r="R148" s="1578">
        <v>0</v>
      </c>
    </row>
    <row r="149" spans="2:19">
      <c r="B149" s="1554">
        <f>B148+1</f>
        <v>93</v>
      </c>
      <c r="D149" s="1199" t="s">
        <v>1655</v>
      </c>
      <c r="G149" s="1567"/>
      <c r="I149" s="1574"/>
      <c r="J149" s="1567" t="str">
        <f>"(Col. "&amp;L124&amp;", Line "&amp;B147&amp;" + Line "&amp;B148&amp;")"</f>
        <v>(Col. (H), Line 91 + Line 92)</v>
      </c>
      <c r="L149" s="1580">
        <f>L147+L148</f>
        <v>-207361.625</v>
      </c>
      <c r="M149" s="1574"/>
      <c r="N149" s="1567" t="str">
        <f>"(Col. "&amp;R124&amp;", Line "&amp;B147&amp;" + Line "&amp;B148&amp;")"</f>
        <v>(Col. (M), Line 91 + Line 92)</v>
      </c>
      <c r="R149" s="1580">
        <f>R147+R148</f>
        <v>-207361.625</v>
      </c>
    </row>
    <row r="150" spans="2:19">
      <c r="I150" s="1574"/>
      <c r="L150" s="1580"/>
      <c r="M150" s="1574"/>
      <c r="R150" s="1580"/>
    </row>
    <row r="151" spans="2:19">
      <c r="B151" s="1554">
        <f>B149+1</f>
        <v>94</v>
      </c>
      <c r="D151" s="1199" t="s">
        <v>1131</v>
      </c>
      <c r="I151" s="1574"/>
      <c r="J151" s="1567" t="str">
        <f>"([Col. "&amp;L124&amp;", Line "&amp;B145&amp;" + Line "&amp;B149&amp;"] /2)"</f>
        <v>([Col. (H), Line 90 + Line 93] /2)</v>
      </c>
      <c r="L151" s="1564">
        <f>(L145+L149)/2</f>
        <v>-266607.75</v>
      </c>
      <c r="M151" s="1574"/>
      <c r="N151" s="1567" t="str">
        <f>"([Col. "&amp;R124&amp;", Line "&amp;B145&amp;" + Line "&amp;B149&amp;"] /2)"</f>
        <v>([Col. (M), Line 90 + Line 93] /2)</v>
      </c>
      <c r="R151" s="1564">
        <f>(R145+R149)/2</f>
        <v>-266607.75</v>
      </c>
    </row>
    <row r="152" spans="2:19">
      <c r="B152" s="1554">
        <f>B151+1</f>
        <v>95</v>
      </c>
      <c r="D152" s="1616" t="s">
        <v>1656</v>
      </c>
      <c r="E152" s="1573"/>
      <c r="F152" s="1573"/>
      <c r="G152" s="1573"/>
      <c r="H152" s="1574"/>
      <c r="I152" s="1574"/>
      <c r="J152" s="1567" t="str">
        <f>"(Col. "&amp;L124&amp;", Line "&amp;B140&amp;" )"</f>
        <v>(Col. (H), Line 86 )</v>
      </c>
      <c r="K152" s="1575"/>
      <c r="L152" s="1564">
        <f>L140</f>
        <v>0</v>
      </c>
      <c r="M152" s="1574"/>
      <c r="N152" s="1567" t="str">
        <f>"(Col. "&amp;R124&amp;", Line "&amp;B140&amp;" )"</f>
        <v>(Col. (M), Line 86 )</v>
      </c>
      <c r="R152" s="1564">
        <f>R140</f>
        <v>0</v>
      </c>
    </row>
    <row r="153" spans="2:19" ht="13.5" thickBot="1">
      <c r="B153" s="1554">
        <f>B152+1</f>
        <v>96</v>
      </c>
      <c r="D153" s="1581" t="s">
        <v>1657</v>
      </c>
      <c r="E153" s="1573"/>
      <c r="F153" s="1573"/>
      <c r="G153" s="1573"/>
      <c r="H153" s="1574"/>
      <c r="I153" s="1574"/>
      <c r="J153" s="1567" t="str">
        <f>"(Col. "&amp;L124&amp;", Line "&amp;B151&amp;" + Line "&amp;B152&amp;")"</f>
        <v>(Col. (H), Line 94 + Line 95)</v>
      </c>
      <c r="K153" s="1575"/>
      <c r="L153" s="1582">
        <f>L151+L152</f>
        <v>-266607.75</v>
      </c>
      <c r="M153" s="1574"/>
      <c r="N153" s="1567" t="str">
        <f>"(Col. "&amp;R124&amp;", Line "&amp;B151&amp;" + Line "&amp;B152&amp;")"</f>
        <v>(Col. (M), Line 94 + Line 95)</v>
      </c>
      <c r="R153" s="1582">
        <f>R151+R152</f>
        <v>-266607.75</v>
      </c>
    </row>
    <row r="154" spans="2:19">
      <c r="I154" s="1574"/>
      <c r="L154" s="1564"/>
      <c r="M154" s="1574"/>
      <c r="R154" s="1564"/>
      <c r="S154" s="1574"/>
    </row>
    <row r="155" spans="2:19">
      <c r="D155" s="1551" t="s">
        <v>1658</v>
      </c>
      <c r="J155" s="1583"/>
      <c r="K155" s="1584"/>
      <c r="L155" s="1584"/>
      <c r="N155" s="1584"/>
      <c r="O155" s="1584"/>
      <c r="P155" s="1584"/>
      <c r="Q155" s="1584"/>
      <c r="R155" s="1584"/>
    </row>
    <row r="156" spans="2:19">
      <c r="D156" s="1863" t="s">
        <v>1041</v>
      </c>
      <c r="E156" s="1864"/>
      <c r="F156" s="1864"/>
      <c r="G156" s="1864"/>
      <c r="H156" s="1865"/>
      <c r="I156" s="1555"/>
      <c r="J156" s="1866" t="s">
        <v>1647</v>
      </c>
      <c r="K156" s="1867"/>
      <c r="L156" s="1868"/>
      <c r="M156" s="1555"/>
      <c r="N156" s="1866" t="s">
        <v>1648</v>
      </c>
      <c r="O156" s="1867"/>
      <c r="P156" s="1867"/>
      <c r="Q156" s="1867"/>
      <c r="R156" s="1868"/>
      <c r="S156" s="1555"/>
    </row>
    <row r="157" spans="2:19">
      <c r="D157" s="1556" t="s">
        <v>216</v>
      </c>
      <c r="E157" s="1556" t="s">
        <v>217</v>
      </c>
      <c r="F157" s="1556" t="s">
        <v>1579</v>
      </c>
      <c r="G157" s="1556" t="s">
        <v>1580</v>
      </c>
      <c r="H157" s="1556" t="s">
        <v>1581</v>
      </c>
      <c r="I157" s="1555"/>
      <c r="J157" s="1556" t="s">
        <v>1582</v>
      </c>
      <c r="K157" s="1556" t="s">
        <v>1583</v>
      </c>
      <c r="L157" s="1556" t="s">
        <v>1584</v>
      </c>
      <c r="M157" s="1555"/>
      <c r="N157" s="1556" t="s">
        <v>1585</v>
      </c>
      <c r="O157" s="1556" t="s">
        <v>1586</v>
      </c>
      <c r="P157" s="1556" t="s">
        <v>1587</v>
      </c>
      <c r="Q157" s="1556" t="s">
        <v>1588</v>
      </c>
      <c r="R157" s="1556" t="s">
        <v>1589</v>
      </c>
      <c r="S157" s="1555"/>
    </row>
    <row r="158" spans="2:19" ht="51">
      <c r="B158" s="1557" t="s">
        <v>1590</v>
      </c>
      <c r="D158" s="1558" t="s">
        <v>211</v>
      </c>
      <c r="E158" s="1558" t="s">
        <v>1042</v>
      </c>
      <c r="F158" s="1558" t="s">
        <v>1043</v>
      </c>
      <c r="G158" s="1558" t="s">
        <v>1044</v>
      </c>
      <c r="H158" s="1558" t="s">
        <v>1591</v>
      </c>
      <c r="I158" s="1736"/>
      <c r="J158" s="1558" t="s">
        <v>1045</v>
      </c>
      <c r="K158" s="1558" t="s">
        <v>1592</v>
      </c>
      <c r="L158" s="1558" t="s">
        <v>1593</v>
      </c>
      <c r="M158" s="1736"/>
      <c r="N158" s="1558" t="s">
        <v>1134</v>
      </c>
      <c r="O158" s="1558" t="s">
        <v>1594</v>
      </c>
      <c r="P158" s="1558" t="s">
        <v>1595</v>
      </c>
      <c r="Q158" s="1558" t="s">
        <v>1596</v>
      </c>
      <c r="R158" s="1558" t="s">
        <v>1597</v>
      </c>
      <c r="S158" s="1736"/>
    </row>
    <row r="159" spans="2:19">
      <c r="E159" s="1736"/>
      <c r="F159" s="1736"/>
      <c r="G159" s="1736"/>
      <c r="H159" s="1736"/>
      <c r="I159" s="1736"/>
      <c r="J159" s="1736"/>
      <c r="K159" s="1736"/>
      <c r="L159" s="1736"/>
      <c r="M159" s="1736"/>
      <c r="N159" s="1736"/>
      <c r="O159" s="1736"/>
      <c r="P159" s="1736"/>
      <c r="Q159" s="1736"/>
      <c r="R159" s="1736"/>
      <c r="S159" s="1736"/>
    </row>
    <row r="160" spans="2:19">
      <c r="B160" s="1554">
        <f>B153+1</f>
        <v>97</v>
      </c>
      <c r="D160" s="1199" t="s">
        <v>1649</v>
      </c>
      <c r="E160" s="1736"/>
      <c r="F160" s="1736"/>
      <c r="G160" s="1736"/>
      <c r="H160" s="1736"/>
      <c r="I160" s="1736"/>
      <c r="J160" s="1559" t="s">
        <v>1899</v>
      </c>
      <c r="K160" s="1736"/>
      <c r="L160" s="1559">
        <f>'1E - ADIT Amortization'!M374</f>
        <v>0</v>
      </c>
      <c r="M160" s="1736"/>
      <c r="N160" s="1559" t="s">
        <v>1899</v>
      </c>
      <c r="O160" s="1736"/>
      <c r="P160" s="1736"/>
      <c r="Q160" s="1736"/>
      <c r="R160" s="1559">
        <v>0</v>
      </c>
      <c r="S160" s="1736"/>
    </row>
    <row r="161" spans="2:19">
      <c r="E161" s="1736"/>
      <c r="F161" s="1736"/>
      <c r="G161" s="1736"/>
      <c r="H161" s="1736"/>
      <c r="I161" s="1736"/>
      <c r="J161" s="1736"/>
      <c r="K161" s="1736"/>
      <c r="L161" s="1736"/>
      <c r="M161" s="1736"/>
      <c r="N161" s="1736"/>
      <c r="O161" s="1736"/>
      <c r="P161" s="1736"/>
      <c r="Q161" s="1736"/>
      <c r="R161" s="1736"/>
      <c r="S161" s="1736"/>
    </row>
    <row r="162" spans="2:19">
      <c r="B162" s="1554">
        <f>B160+1</f>
        <v>98</v>
      </c>
      <c r="D162" s="1560" t="s">
        <v>636</v>
      </c>
      <c r="E162" s="1559">
        <v>31</v>
      </c>
      <c r="F162" s="1561">
        <v>0</v>
      </c>
      <c r="G162" s="1561">
        <v>214</v>
      </c>
      <c r="H162" s="1562">
        <f t="shared" ref="H162:H173" si="41">IF(F162=0,0.5,F162/G162)</f>
        <v>0.5</v>
      </c>
      <c r="I162" s="1563"/>
      <c r="J162" s="1559">
        <v>0</v>
      </c>
      <c r="K162" s="1564">
        <f t="shared" ref="K162:K173" si="42">+J162*H162</f>
        <v>0</v>
      </c>
      <c r="L162" s="1564">
        <f>+K162+L160</f>
        <v>0</v>
      </c>
      <c r="M162" s="1563"/>
      <c r="N162" s="1559">
        <v>0</v>
      </c>
      <c r="O162" s="1564">
        <f>IF($D$237="True-Up Adjustment",N162-J162,0)</f>
        <v>0</v>
      </c>
      <c r="P162" s="1564">
        <f>IF($D$237="True-Up Adjustment",IF(AND(J162&gt;=0,N162&gt;=0),IF(O162&gt;=0,K162+O162,N162/J162*K162),IF(AND(J162&lt;0,N162&lt;0),IF(O162&lt;0,K162+O162,N162/J162*K162),0)),0)</f>
        <v>0</v>
      </c>
      <c r="Q162" s="1564">
        <f t="shared" ref="Q162:Q173" si="43">IF(AND(J162&gt;=0,N162&lt;0),N162,IF(AND(J162&lt;0,N162&gt;=0),N162,0))</f>
        <v>0</v>
      </c>
      <c r="R162" s="1564">
        <f>R160+P162+Q162</f>
        <v>0</v>
      </c>
      <c r="S162" s="1563"/>
    </row>
    <row r="163" spans="2:19">
      <c r="B163" s="1554">
        <f t="shared" ref="B163:B174" si="44">+B162+1</f>
        <v>99</v>
      </c>
      <c r="D163" s="1560" t="s">
        <v>637</v>
      </c>
      <c r="E163" s="1559">
        <v>28</v>
      </c>
      <c r="F163" s="1561">
        <v>0</v>
      </c>
      <c r="G163" s="1561">
        <f t="shared" ref="G163:G173" si="45">G162</f>
        <v>214</v>
      </c>
      <c r="H163" s="1562">
        <f t="shared" si="41"/>
        <v>0.5</v>
      </c>
      <c r="I163" s="1563"/>
      <c r="J163" s="1559">
        <v>0</v>
      </c>
      <c r="K163" s="1564">
        <f t="shared" si="42"/>
        <v>0</v>
      </c>
      <c r="L163" s="1564">
        <f t="shared" ref="L163:L173" si="46">+K163+L162</f>
        <v>0</v>
      </c>
      <c r="M163" s="1563"/>
      <c r="N163" s="1559">
        <v>0</v>
      </c>
      <c r="O163" s="1564">
        <f t="shared" ref="O163:O173" si="47">IF($D$237="True-Up Adjustment",N163-J163,0)</f>
        <v>0</v>
      </c>
      <c r="P163" s="1564">
        <f t="shared" ref="P163:P173" si="48">IF($D$237="True-Up Adjustment",IF(AND(J163&gt;=0,N163&gt;=0),IF(O163&gt;=0,K163+O163,N163/J163*K163),IF(AND(J163&lt;0,N163&lt;0),IF(O163&lt;0,K163+O163,N163/J163*K163),0)),0)</f>
        <v>0</v>
      </c>
      <c r="Q163" s="1564">
        <f t="shared" si="43"/>
        <v>0</v>
      </c>
      <c r="R163" s="1564">
        <f t="shared" ref="R163:R173" si="49">R162+P163+Q163</f>
        <v>0</v>
      </c>
      <c r="S163" s="1563"/>
    </row>
    <row r="164" spans="2:19">
      <c r="B164" s="1554">
        <f t="shared" si="44"/>
        <v>100</v>
      </c>
      <c r="D164" s="1560" t="s">
        <v>664</v>
      </c>
      <c r="E164" s="1559">
        <v>31</v>
      </c>
      <c r="F164" s="1561">
        <v>0</v>
      </c>
      <c r="G164" s="1561">
        <f t="shared" si="45"/>
        <v>214</v>
      </c>
      <c r="H164" s="1562">
        <f t="shared" si="41"/>
        <v>0.5</v>
      </c>
      <c r="I164" s="1563"/>
      <c r="J164" s="1559">
        <v>0</v>
      </c>
      <c r="K164" s="1564">
        <f t="shared" si="42"/>
        <v>0</v>
      </c>
      <c r="L164" s="1564">
        <f t="shared" si="46"/>
        <v>0</v>
      </c>
      <c r="M164" s="1563"/>
      <c r="N164" s="1559">
        <v>0</v>
      </c>
      <c r="O164" s="1564">
        <f t="shared" si="47"/>
        <v>0</v>
      </c>
      <c r="P164" s="1564">
        <f t="shared" si="48"/>
        <v>0</v>
      </c>
      <c r="Q164" s="1564">
        <f t="shared" si="43"/>
        <v>0</v>
      </c>
      <c r="R164" s="1564">
        <f t="shared" si="49"/>
        <v>0</v>
      </c>
      <c r="S164" s="1563"/>
    </row>
    <row r="165" spans="2:19">
      <c r="B165" s="1554">
        <f t="shared" si="44"/>
        <v>101</v>
      </c>
      <c r="D165" s="1560" t="s">
        <v>213</v>
      </c>
      <c r="E165" s="1559">
        <v>30</v>
      </c>
      <c r="F165" s="1561">
        <v>0</v>
      </c>
      <c r="G165" s="1561">
        <f t="shared" si="45"/>
        <v>214</v>
      </c>
      <c r="H165" s="1562">
        <f t="shared" si="41"/>
        <v>0.5</v>
      </c>
      <c r="I165" s="1563"/>
      <c r="J165" s="1559">
        <v>0</v>
      </c>
      <c r="K165" s="1564">
        <f t="shared" si="42"/>
        <v>0</v>
      </c>
      <c r="L165" s="1564">
        <f t="shared" si="46"/>
        <v>0</v>
      </c>
      <c r="M165" s="1563"/>
      <c r="N165" s="1559">
        <v>0</v>
      </c>
      <c r="O165" s="1564">
        <f t="shared" si="47"/>
        <v>0</v>
      </c>
      <c r="P165" s="1564">
        <f t="shared" si="48"/>
        <v>0</v>
      </c>
      <c r="Q165" s="1564">
        <f t="shared" si="43"/>
        <v>0</v>
      </c>
      <c r="R165" s="1564">
        <f t="shared" si="49"/>
        <v>0</v>
      </c>
      <c r="S165" s="1563"/>
    </row>
    <row r="166" spans="2:19">
      <c r="B166" s="1554">
        <f t="shared" si="44"/>
        <v>102</v>
      </c>
      <c r="D166" s="1560" t="s">
        <v>214</v>
      </c>
      <c r="E166" s="1559">
        <v>31</v>
      </c>
      <c r="F166" s="1561">
        <v>0</v>
      </c>
      <c r="G166" s="1561">
        <f t="shared" si="45"/>
        <v>214</v>
      </c>
      <c r="H166" s="1562">
        <f t="shared" si="41"/>
        <v>0.5</v>
      </c>
      <c r="I166" s="1563"/>
      <c r="J166" s="1559">
        <v>0</v>
      </c>
      <c r="K166" s="1564">
        <f t="shared" si="42"/>
        <v>0</v>
      </c>
      <c r="L166" s="1564">
        <f t="shared" si="46"/>
        <v>0</v>
      </c>
      <c r="M166" s="1563"/>
      <c r="N166" s="1559">
        <v>0</v>
      </c>
      <c r="O166" s="1564">
        <f t="shared" si="47"/>
        <v>0</v>
      </c>
      <c r="P166" s="1564">
        <f t="shared" si="48"/>
        <v>0</v>
      </c>
      <c r="Q166" s="1564">
        <f t="shared" si="43"/>
        <v>0</v>
      </c>
      <c r="R166" s="1564">
        <f t="shared" si="49"/>
        <v>0</v>
      </c>
      <c r="S166" s="1563"/>
    </row>
    <row r="167" spans="2:19">
      <c r="B167" s="1554">
        <f t="shared" si="44"/>
        <v>103</v>
      </c>
      <c r="D167" s="1560" t="s">
        <v>215</v>
      </c>
      <c r="E167" s="1559">
        <v>30</v>
      </c>
      <c r="F167" s="1561">
        <f t="shared" ref="F167:F172" si="50">E168+F168</f>
        <v>185</v>
      </c>
      <c r="G167" s="1561">
        <f t="shared" si="45"/>
        <v>214</v>
      </c>
      <c r="H167" s="1562">
        <f t="shared" si="41"/>
        <v>0.86448598130841126</v>
      </c>
      <c r="I167" s="1563"/>
      <c r="J167" s="1559">
        <v>0</v>
      </c>
      <c r="K167" s="1564">
        <f t="shared" si="42"/>
        <v>0</v>
      </c>
      <c r="L167" s="1564">
        <f t="shared" si="46"/>
        <v>0</v>
      </c>
      <c r="M167" s="1563"/>
      <c r="N167" s="1559">
        <v>0</v>
      </c>
      <c r="O167" s="1564">
        <f t="shared" si="47"/>
        <v>0</v>
      </c>
      <c r="P167" s="1564">
        <f t="shared" si="48"/>
        <v>0</v>
      </c>
      <c r="Q167" s="1564">
        <f t="shared" si="43"/>
        <v>0</v>
      </c>
      <c r="R167" s="1564">
        <f t="shared" si="49"/>
        <v>0</v>
      </c>
      <c r="S167" s="1563"/>
    </row>
    <row r="168" spans="2:19">
      <c r="B168" s="1554">
        <f t="shared" si="44"/>
        <v>104</v>
      </c>
      <c r="D168" s="1560" t="s">
        <v>639</v>
      </c>
      <c r="E168" s="1559">
        <v>31</v>
      </c>
      <c r="F168" s="1561">
        <f t="shared" si="50"/>
        <v>154</v>
      </c>
      <c r="G168" s="1561">
        <f t="shared" si="45"/>
        <v>214</v>
      </c>
      <c r="H168" s="1562">
        <f t="shared" si="41"/>
        <v>0.71962616822429903</v>
      </c>
      <c r="I168" s="1563"/>
      <c r="J168" s="1559">
        <v>0</v>
      </c>
      <c r="K168" s="1564">
        <f t="shared" si="42"/>
        <v>0</v>
      </c>
      <c r="L168" s="1564">
        <f t="shared" si="46"/>
        <v>0</v>
      </c>
      <c r="M168" s="1563"/>
      <c r="N168" s="1559">
        <v>0</v>
      </c>
      <c r="O168" s="1564">
        <f t="shared" si="47"/>
        <v>0</v>
      </c>
      <c r="P168" s="1564">
        <f t="shared" si="48"/>
        <v>0</v>
      </c>
      <c r="Q168" s="1564">
        <f t="shared" si="43"/>
        <v>0</v>
      </c>
      <c r="R168" s="1564">
        <f t="shared" si="49"/>
        <v>0</v>
      </c>
      <c r="S168" s="1563"/>
    </row>
    <row r="169" spans="2:19">
      <c r="B169" s="1554">
        <f t="shared" si="44"/>
        <v>105</v>
      </c>
      <c r="D169" s="1560" t="s">
        <v>665</v>
      </c>
      <c r="E169" s="1559">
        <v>31</v>
      </c>
      <c r="F169" s="1561">
        <f t="shared" si="50"/>
        <v>123</v>
      </c>
      <c r="G169" s="1561">
        <f t="shared" si="45"/>
        <v>214</v>
      </c>
      <c r="H169" s="1562">
        <f t="shared" si="41"/>
        <v>0.57476635514018692</v>
      </c>
      <c r="I169" s="1563"/>
      <c r="J169" s="1559">
        <v>0</v>
      </c>
      <c r="K169" s="1564">
        <f t="shared" si="42"/>
        <v>0</v>
      </c>
      <c r="L169" s="1564">
        <f t="shared" si="46"/>
        <v>0</v>
      </c>
      <c r="M169" s="1563"/>
      <c r="N169" s="1559">
        <v>0</v>
      </c>
      <c r="O169" s="1564">
        <f t="shared" si="47"/>
        <v>0</v>
      </c>
      <c r="P169" s="1564">
        <f t="shared" si="48"/>
        <v>0</v>
      </c>
      <c r="Q169" s="1564">
        <f t="shared" si="43"/>
        <v>0</v>
      </c>
      <c r="R169" s="1564">
        <f t="shared" si="49"/>
        <v>0</v>
      </c>
      <c r="S169" s="1563"/>
    </row>
    <row r="170" spans="2:19">
      <c r="B170" s="1554">
        <f t="shared" si="44"/>
        <v>106</v>
      </c>
      <c r="D170" s="1560" t="s">
        <v>641</v>
      </c>
      <c r="E170" s="1559">
        <v>30</v>
      </c>
      <c r="F170" s="1561">
        <f t="shared" si="50"/>
        <v>93</v>
      </c>
      <c r="G170" s="1561">
        <f t="shared" si="45"/>
        <v>214</v>
      </c>
      <c r="H170" s="1562">
        <f t="shared" si="41"/>
        <v>0.43457943925233644</v>
      </c>
      <c r="I170" s="1563"/>
      <c r="J170" s="1559">
        <v>0</v>
      </c>
      <c r="K170" s="1564">
        <f t="shared" si="42"/>
        <v>0</v>
      </c>
      <c r="L170" s="1564">
        <f t="shared" si="46"/>
        <v>0</v>
      </c>
      <c r="M170" s="1563"/>
      <c r="N170" s="1559">
        <v>0</v>
      </c>
      <c r="O170" s="1564">
        <f t="shared" si="47"/>
        <v>0</v>
      </c>
      <c r="P170" s="1564">
        <f t="shared" si="48"/>
        <v>0</v>
      </c>
      <c r="Q170" s="1564">
        <f t="shared" si="43"/>
        <v>0</v>
      </c>
      <c r="R170" s="1564">
        <f t="shared" si="49"/>
        <v>0</v>
      </c>
      <c r="S170" s="1563"/>
    </row>
    <row r="171" spans="2:19">
      <c r="B171" s="1554">
        <f t="shared" si="44"/>
        <v>107</v>
      </c>
      <c r="D171" s="1560" t="s">
        <v>642</v>
      </c>
      <c r="E171" s="1559">
        <v>31</v>
      </c>
      <c r="F171" s="1561">
        <f t="shared" si="50"/>
        <v>62</v>
      </c>
      <c r="G171" s="1561">
        <f t="shared" si="45"/>
        <v>214</v>
      </c>
      <c r="H171" s="1562">
        <f t="shared" si="41"/>
        <v>0.28971962616822428</v>
      </c>
      <c r="I171" s="1563"/>
      <c r="J171" s="1559">
        <v>0</v>
      </c>
      <c r="K171" s="1564">
        <f t="shared" si="42"/>
        <v>0</v>
      </c>
      <c r="L171" s="1564">
        <f t="shared" si="46"/>
        <v>0</v>
      </c>
      <c r="M171" s="1563"/>
      <c r="N171" s="1559">
        <v>0</v>
      </c>
      <c r="O171" s="1564">
        <f t="shared" si="47"/>
        <v>0</v>
      </c>
      <c r="P171" s="1564">
        <f t="shared" si="48"/>
        <v>0</v>
      </c>
      <c r="Q171" s="1564">
        <f t="shared" si="43"/>
        <v>0</v>
      </c>
      <c r="R171" s="1564">
        <f t="shared" si="49"/>
        <v>0</v>
      </c>
      <c r="S171" s="1563"/>
    </row>
    <row r="172" spans="2:19">
      <c r="B172" s="1554">
        <f t="shared" si="44"/>
        <v>108</v>
      </c>
      <c r="D172" s="1560" t="s">
        <v>643</v>
      </c>
      <c r="E172" s="1559">
        <v>30</v>
      </c>
      <c r="F172" s="1561">
        <f t="shared" si="50"/>
        <v>32</v>
      </c>
      <c r="G172" s="1561">
        <f t="shared" si="45"/>
        <v>214</v>
      </c>
      <c r="H172" s="1562">
        <f t="shared" si="41"/>
        <v>0.14953271028037382</v>
      </c>
      <c r="I172" s="1563"/>
      <c r="J172" s="1559">
        <v>0</v>
      </c>
      <c r="K172" s="1564">
        <f t="shared" si="42"/>
        <v>0</v>
      </c>
      <c r="L172" s="1564">
        <f t="shared" si="46"/>
        <v>0</v>
      </c>
      <c r="M172" s="1563"/>
      <c r="N172" s="1559">
        <v>0</v>
      </c>
      <c r="O172" s="1564">
        <f t="shared" si="47"/>
        <v>0</v>
      </c>
      <c r="P172" s="1564">
        <f t="shared" si="48"/>
        <v>0</v>
      </c>
      <c r="Q172" s="1564">
        <f t="shared" si="43"/>
        <v>0</v>
      </c>
      <c r="R172" s="1564">
        <f t="shared" si="49"/>
        <v>0</v>
      </c>
      <c r="S172" s="1563"/>
    </row>
    <row r="173" spans="2:19">
      <c r="B173" s="1554">
        <f t="shared" si="44"/>
        <v>109</v>
      </c>
      <c r="D173" s="1565" t="s">
        <v>869</v>
      </c>
      <c r="E173" s="1559">
        <v>31</v>
      </c>
      <c r="F173" s="1566">
        <v>1</v>
      </c>
      <c r="G173" s="1561">
        <f t="shared" si="45"/>
        <v>214</v>
      </c>
      <c r="H173" s="1562">
        <f t="shared" si="41"/>
        <v>4.6728971962616819E-3</v>
      </c>
      <c r="I173" s="1563"/>
      <c r="J173" s="1559">
        <v>0</v>
      </c>
      <c r="K173" s="1564">
        <f t="shared" si="42"/>
        <v>0</v>
      </c>
      <c r="L173" s="1564">
        <f t="shared" si="46"/>
        <v>0</v>
      </c>
      <c r="M173" s="1563"/>
      <c r="N173" s="1559">
        <v>0</v>
      </c>
      <c r="O173" s="1564">
        <f t="shared" si="47"/>
        <v>0</v>
      </c>
      <c r="P173" s="1564">
        <f t="shared" si="48"/>
        <v>0</v>
      </c>
      <c r="Q173" s="1564">
        <f t="shared" si="43"/>
        <v>0</v>
      </c>
      <c r="R173" s="1564">
        <f t="shared" si="49"/>
        <v>0</v>
      </c>
      <c r="S173" s="1563"/>
    </row>
    <row r="174" spans="2:19">
      <c r="B174" s="1554">
        <f t="shared" si="44"/>
        <v>110</v>
      </c>
      <c r="D174" s="1567" t="str">
        <f>"Total (Sum of Lines "&amp;B162&amp;" - "&amp;B173&amp;")"</f>
        <v>Total (Sum of Lines 98 - 109)</v>
      </c>
      <c r="E174" s="1568">
        <f>SUM(E162:E173)</f>
        <v>365</v>
      </c>
      <c r="F174" s="1569"/>
      <c r="G174" s="1569"/>
      <c r="H174" s="1570"/>
      <c r="I174" s="1571"/>
      <c r="J174" s="1568">
        <f>SUM(J162:J173)</f>
        <v>0</v>
      </c>
      <c r="K174" s="1568">
        <f>SUM(K162:K173)</f>
        <v>0</v>
      </c>
      <c r="L174" s="1568"/>
      <c r="M174" s="1571"/>
      <c r="N174" s="1568">
        <f>SUM(N162:N173)</f>
        <v>0</v>
      </c>
      <c r="O174" s="1568">
        <f>SUM(O162:O173)</f>
        <v>0</v>
      </c>
      <c r="P174" s="1568">
        <f>SUM(P162:P173)</f>
        <v>0</v>
      </c>
      <c r="Q174" s="1568">
        <f>SUM(Q162:Q173)</f>
        <v>0</v>
      </c>
      <c r="R174" s="1572"/>
      <c r="S174" s="1571"/>
    </row>
    <row r="175" spans="2:19">
      <c r="D175" s="1573"/>
      <c r="E175" s="1573"/>
      <c r="F175" s="1573"/>
      <c r="G175" s="1573"/>
      <c r="H175" s="1574"/>
      <c r="I175" s="1574"/>
      <c r="K175" s="1575"/>
      <c r="L175" s="1574"/>
      <c r="M175" s="1574"/>
      <c r="N175" s="1585"/>
      <c r="O175" s="1575"/>
      <c r="P175" s="1575"/>
      <c r="Q175" s="1575"/>
      <c r="R175" s="1574"/>
      <c r="S175" s="1574"/>
    </row>
    <row r="176" spans="2:19" ht="15" customHeight="1">
      <c r="B176" s="1554">
        <f>B174+1</f>
        <v>111</v>
      </c>
      <c r="D176" s="1199" t="s">
        <v>1650</v>
      </c>
      <c r="I176" s="1574"/>
      <c r="J176" s="1559" t="s">
        <v>1899</v>
      </c>
      <c r="L176" s="1559">
        <f>'1E - ADIT Amortization'!M356+'1E - ADIT Amortization'!M365</f>
        <v>-1449310.3</v>
      </c>
      <c r="M176" s="1576"/>
      <c r="N176" s="1559" t="s">
        <v>1899</v>
      </c>
      <c r="R176" s="1559">
        <f>'1E - ADIT Amortization'!M356+'1E - ADIT Amortization'!M365</f>
        <v>-1449310.3</v>
      </c>
    </row>
    <row r="177" spans="2:19">
      <c r="B177" s="1554">
        <f>B176+1</f>
        <v>112</v>
      </c>
      <c r="D177" s="1199" t="s">
        <v>1651</v>
      </c>
      <c r="I177" s="1574"/>
      <c r="J177" s="1577" t="s">
        <v>759</v>
      </c>
      <c r="L177" s="1578">
        <v>0</v>
      </c>
      <c r="M177" s="1579"/>
      <c r="N177" s="1577"/>
      <c r="R177" s="1578">
        <v>0</v>
      </c>
    </row>
    <row r="178" spans="2:19">
      <c r="B178" s="1554">
        <f>B177+1</f>
        <v>113</v>
      </c>
      <c r="D178" s="1199" t="s">
        <v>1652</v>
      </c>
      <c r="I178" s="1574"/>
      <c r="J178" s="1567" t="str">
        <f>"(Col. "&amp;L157&amp;", Line "&amp;B176&amp;" + Line "&amp;B177&amp;")"</f>
        <v>(Col. (H), Line 111 + Line 112)</v>
      </c>
      <c r="L178" s="1580">
        <f>L176+L177</f>
        <v>-1449310.3</v>
      </c>
      <c r="M178" s="1574"/>
      <c r="N178" s="1567" t="str">
        <f>"(Col. "&amp;R157&amp;", Line "&amp;B176&amp;" + Line "&amp;B177&amp;")"</f>
        <v>(Col. (M), Line 111 + Line 112)</v>
      </c>
      <c r="R178" s="1580">
        <f>R176+R177</f>
        <v>-1449310.3</v>
      </c>
    </row>
    <row r="179" spans="2:19">
      <c r="I179" s="1574"/>
      <c r="L179" s="1580"/>
      <c r="M179" s="1574"/>
      <c r="R179" s="1580"/>
    </row>
    <row r="180" spans="2:19">
      <c r="B180" s="1554">
        <f>B178+1</f>
        <v>114</v>
      </c>
      <c r="D180" s="1199" t="s">
        <v>1653</v>
      </c>
      <c r="I180" s="1574"/>
      <c r="J180" s="1559" t="s">
        <v>1995</v>
      </c>
      <c r="L180" s="1559">
        <f>'1E - ADIT Amortization'!Q356+'1E - ADIT Amortization'!Q365</f>
        <v>-1062827.5</v>
      </c>
      <c r="M180" s="1576"/>
      <c r="N180" s="1559" t="s">
        <v>1995</v>
      </c>
      <c r="R180" s="1559">
        <f>'1E - ADIT Amortization'!Q365</f>
        <v>-1062827.5</v>
      </c>
    </row>
    <row r="181" spans="2:19">
      <c r="B181" s="1554">
        <f>B180+1</f>
        <v>115</v>
      </c>
      <c r="D181" s="1199" t="s">
        <v>1654</v>
      </c>
      <c r="I181" s="1574"/>
      <c r="J181" s="1577" t="s">
        <v>759</v>
      </c>
      <c r="L181" s="1578">
        <v>0</v>
      </c>
      <c r="M181" s="1574"/>
      <c r="N181" s="1577"/>
      <c r="R181" s="1578">
        <v>0</v>
      </c>
    </row>
    <row r="182" spans="2:19">
      <c r="B182" s="1554">
        <f>B181+1</f>
        <v>116</v>
      </c>
      <c r="D182" s="1199" t="s">
        <v>1655</v>
      </c>
      <c r="I182" s="1574"/>
      <c r="J182" s="1567" t="str">
        <f>"(Col. "&amp;L157&amp;", Line "&amp;B180&amp;" + Line "&amp;B181&amp;")"</f>
        <v>(Col. (H), Line 114 + Line 115)</v>
      </c>
      <c r="L182" s="1580">
        <f>L180+L181</f>
        <v>-1062827.5</v>
      </c>
      <c r="M182" s="1574"/>
      <c r="N182" s="1567" t="str">
        <f>"(Col. "&amp;R157&amp;", Line "&amp;B180&amp;" + Line "&amp;B181&amp;")"</f>
        <v>(Col. (M), Line 114 + Line 115)</v>
      </c>
      <c r="R182" s="1580">
        <f>R180+R181</f>
        <v>-1062827.5</v>
      </c>
    </row>
    <row r="183" spans="2:19">
      <c r="I183" s="1574"/>
      <c r="L183" s="1580"/>
      <c r="M183" s="1574"/>
      <c r="R183" s="1580"/>
    </row>
    <row r="184" spans="2:19">
      <c r="B184" s="1554">
        <f>B182+1</f>
        <v>117</v>
      </c>
      <c r="D184" s="1199" t="s">
        <v>1131</v>
      </c>
      <c r="I184" s="1574"/>
      <c r="J184" s="1567" t="str">
        <f>"([Col. "&amp;L157&amp;", Line "&amp;B178&amp;" + Line "&amp;B182&amp;"] /2)"</f>
        <v>([Col. (H), Line 113 + Line 116] /2)</v>
      </c>
      <c r="L184" s="1564">
        <f>(L178+L182)/2</f>
        <v>-1256068.8999999999</v>
      </c>
      <c r="M184" s="1574"/>
      <c r="N184" s="1567" t="str">
        <f>"([Col. "&amp;R157&amp;", Line "&amp;B178&amp;" + Line "&amp;B182&amp;"] /2)"</f>
        <v>([Col. (M), Line 113 + Line 116] /2)</v>
      </c>
      <c r="R184" s="1564">
        <f>(R178+R182)/2</f>
        <v>-1256068.8999999999</v>
      </c>
    </row>
    <row r="185" spans="2:19">
      <c r="B185" s="1554">
        <f>B184+1</f>
        <v>118</v>
      </c>
      <c r="D185" s="1616" t="s">
        <v>1656</v>
      </c>
      <c r="E185" s="1573"/>
      <c r="F185" s="1573"/>
      <c r="G185" s="1573"/>
      <c r="H185" s="1574"/>
      <c r="I185" s="1574"/>
      <c r="J185" s="1567" t="str">
        <f>"(Col. "&amp;L157&amp;", Line "&amp;B173&amp;" )"</f>
        <v>(Col. (H), Line 109 )</v>
      </c>
      <c r="K185" s="1575"/>
      <c r="L185" s="1564">
        <f>L173</f>
        <v>0</v>
      </c>
      <c r="M185" s="1574"/>
      <c r="N185" s="1567" t="str">
        <f>"(Col. "&amp;R157&amp;", Line "&amp;B173&amp;" )"</f>
        <v>(Col. (M), Line 109 )</v>
      </c>
      <c r="R185" s="1564">
        <f>R173</f>
        <v>0</v>
      </c>
    </row>
    <row r="186" spans="2:19" ht="13.5" thickBot="1">
      <c r="B186" s="1554">
        <f>B185+1</f>
        <v>119</v>
      </c>
      <c r="D186" s="1581" t="s">
        <v>1659</v>
      </c>
      <c r="E186" s="1573"/>
      <c r="F186" s="1573"/>
      <c r="G186" s="1573"/>
      <c r="H186" s="1574"/>
      <c r="I186" s="1574"/>
      <c r="J186" s="1567" t="str">
        <f>"(Col. "&amp;L157&amp;", Line "&amp;B184&amp;" + Line "&amp;B185&amp;")"</f>
        <v>(Col. (H), Line 117 + Line 118)</v>
      </c>
      <c r="K186" s="1575"/>
      <c r="L186" s="1582">
        <f>L184+L185</f>
        <v>-1256068.8999999999</v>
      </c>
      <c r="M186" s="1574"/>
      <c r="N186" s="1567" t="str">
        <f>"(Col. "&amp;R157&amp;", Line "&amp;B184&amp;" + Line "&amp;B185&amp;")"</f>
        <v>(Col. (M), Line 117 + Line 118)</v>
      </c>
      <c r="R186" s="1582">
        <f>R184+R185</f>
        <v>-1256068.8999999999</v>
      </c>
    </row>
    <row r="187" spans="2:19">
      <c r="D187" s="1551"/>
    </row>
    <row r="188" spans="2:19">
      <c r="D188" s="1551" t="s">
        <v>1660</v>
      </c>
      <c r="J188" s="1862"/>
      <c r="K188" s="1862"/>
      <c r="L188" s="1862"/>
      <c r="N188" s="1862"/>
      <c r="O188" s="1862"/>
      <c r="P188" s="1862"/>
      <c r="Q188" s="1862"/>
      <c r="R188" s="1862"/>
    </row>
    <row r="189" spans="2:19">
      <c r="D189" s="1863" t="s">
        <v>1041</v>
      </c>
      <c r="E189" s="1864"/>
      <c r="F189" s="1864"/>
      <c r="G189" s="1864"/>
      <c r="H189" s="1865"/>
      <c r="I189" s="1555"/>
      <c r="J189" s="1866" t="s">
        <v>1647</v>
      </c>
      <c r="K189" s="1867"/>
      <c r="L189" s="1868"/>
      <c r="M189" s="1555"/>
      <c r="N189" s="1866" t="s">
        <v>1648</v>
      </c>
      <c r="O189" s="1867"/>
      <c r="P189" s="1867"/>
      <c r="Q189" s="1867"/>
      <c r="R189" s="1868"/>
      <c r="S189" s="1555"/>
    </row>
    <row r="190" spans="2:19">
      <c r="D190" s="1556" t="s">
        <v>216</v>
      </c>
      <c r="E190" s="1556" t="s">
        <v>217</v>
      </c>
      <c r="F190" s="1556" t="s">
        <v>1579</v>
      </c>
      <c r="G190" s="1556" t="s">
        <v>1580</v>
      </c>
      <c r="H190" s="1556" t="s">
        <v>1581</v>
      </c>
      <c r="I190" s="1555"/>
      <c r="J190" s="1556" t="s">
        <v>1582</v>
      </c>
      <c r="K190" s="1556" t="s">
        <v>1583</v>
      </c>
      <c r="L190" s="1556" t="s">
        <v>1584</v>
      </c>
      <c r="M190" s="1555"/>
      <c r="N190" s="1556" t="s">
        <v>1585</v>
      </c>
      <c r="O190" s="1556" t="s">
        <v>1586</v>
      </c>
      <c r="P190" s="1556" t="s">
        <v>1587</v>
      </c>
      <c r="Q190" s="1556" t="s">
        <v>1588</v>
      </c>
      <c r="R190" s="1556" t="s">
        <v>1589</v>
      </c>
      <c r="S190" s="1555"/>
    </row>
    <row r="191" spans="2:19" ht="51">
      <c r="B191" s="1557" t="s">
        <v>1590</v>
      </c>
      <c r="D191" s="1558" t="s">
        <v>211</v>
      </c>
      <c r="E191" s="1558" t="s">
        <v>1042</v>
      </c>
      <c r="F191" s="1558" t="s">
        <v>1043</v>
      </c>
      <c r="G191" s="1558" t="s">
        <v>1044</v>
      </c>
      <c r="H191" s="1558" t="s">
        <v>1591</v>
      </c>
      <c r="I191" s="1736"/>
      <c r="J191" s="1558" t="s">
        <v>1045</v>
      </c>
      <c r="K191" s="1558" t="s">
        <v>1592</v>
      </c>
      <c r="L191" s="1558" t="s">
        <v>1593</v>
      </c>
      <c r="M191" s="1736"/>
      <c r="N191" s="1558" t="s">
        <v>1134</v>
      </c>
      <c r="O191" s="1558" t="s">
        <v>1594</v>
      </c>
      <c r="P191" s="1558" t="s">
        <v>1595</v>
      </c>
      <c r="Q191" s="1558" t="s">
        <v>1596</v>
      </c>
      <c r="R191" s="1558" t="s">
        <v>1597</v>
      </c>
      <c r="S191" s="1736"/>
    </row>
    <row r="192" spans="2:19">
      <c r="E192" s="1736"/>
      <c r="F192" s="1736"/>
      <c r="G192" s="1736"/>
      <c r="H192" s="1736"/>
      <c r="I192" s="1736"/>
      <c r="J192" s="1736"/>
      <c r="K192" s="1736"/>
      <c r="L192" s="1736"/>
      <c r="M192" s="1736"/>
      <c r="N192" s="1736"/>
      <c r="O192" s="1736"/>
      <c r="P192" s="1736"/>
      <c r="Q192" s="1736"/>
      <c r="R192" s="1736"/>
      <c r="S192" s="1736"/>
    </row>
    <row r="193" spans="2:19">
      <c r="B193" s="1554">
        <f>B186+1</f>
        <v>120</v>
      </c>
      <c r="D193" s="1199" t="s">
        <v>1133</v>
      </c>
      <c r="E193" s="1736"/>
      <c r="F193" s="1736"/>
      <c r="G193" s="1736"/>
      <c r="H193" s="1736"/>
      <c r="I193" s="1736"/>
      <c r="J193" s="1559" t="s">
        <v>1899</v>
      </c>
      <c r="K193" s="1736"/>
      <c r="L193" s="1559">
        <f>'1E - ADIT Amortization'!M375</f>
        <v>0</v>
      </c>
      <c r="M193" s="1736"/>
      <c r="N193" s="1559" t="s">
        <v>1899</v>
      </c>
      <c r="O193" s="1736"/>
      <c r="P193" s="1736"/>
      <c r="Q193" s="1736"/>
      <c r="R193" s="1559">
        <v>0</v>
      </c>
      <c r="S193" s="1736"/>
    </row>
    <row r="194" spans="2:19">
      <c r="E194" s="1736"/>
      <c r="F194" s="1736"/>
      <c r="G194" s="1736"/>
      <c r="H194" s="1736"/>
      <c r="I194" s="1736"/>
      <c r="J194" s="1736"/>
      <c r="K194" s="1736"/>
      <c r="L194" s="1736"/>
      <c r="M194" s="1736"/>
      <c r="N194" s="1736"/>
      <c r="O194" s="1736"/>
      <c r="P194" s="1736"/>
      <c r="Q194" s="1736"/>
      <c r="R194" s="1736"/>
      <c r="S194" s="1736"/>
    </row>
    <row r="195" spans="2:19">
      <c r="B195" s="1554">
        <f>B193+1</f>
        <v>121</v>
      </c>
      <c r="D195" s="1560" t="s">
        <v>636</v>
      </c>
      <c r="E195" s="1559">
        <v>31</v>
      </c>
      <c r="F195" s="1561">
        <v>0</v>
      </c>
      <c r="G195" s="1561">
        <v>214</v>
      </c>
      <c r="H195" s="1562">
        <f t="shared" ref="H195:H206" si="51">IF(F195=0,0.5,F195/G195)</f>
        <v>0.5</v>
      </c>
      <c r="I195" s="1563"/>
      <c r="J195" s="1559">
        <v>0</v>
      </c>
      <c r="K195" s="1564">
        <f t="shared" ref="K195:K206" si="52">+J195*H195</f>
        <v>0</v>
      </c>
      <c r="L195" s="1564">
        <f>+K195</f>
        <v>0</v>
      </c>
      <c r="M195" s="1563"/>
      <c r="N195" s="1559">
        <v>0</v>
      </c>
      <c r="O195" s="1564">
        <f>IF($D$237="True-Up Adjustment",N195-J195,0)</f>
        <v>0</v>
      </c>
      <c r="P195" s="1564">
        <f>IF($D$237="True-Up Adjustment",IF(AND(J195&gt;=0,N195&gt;=0),IF(O195&gt;=0,K195+O195,N195/J195*K195),IF(AND(J195&lt;0,N195&lt;0),IF(O195&lt;0,K195+O195,N195/J195*K195),0)),0)</f>
        <v>0</v>
      </c>
      <c r="Q195" s="1564">
        <f t="shared" ref="Q195:Q206" si="53">IF(AND(J195&gt;=0,N195&lt;0),N195,IF(AND(J195&lt;0,N195&gt;=0),N195,0))</f>
        <v>0</v>
      </c>
      <c r="R195" s="1564">
        <f>+P195+Q195</f>
        <v>0</v>
      </c>
      <c r="S195" s="1563"/>
    </row>
    <row r="196" spans="2:19">
      <c r="B196" s="1554">
        <f t="shared" ref="B196:B207" si="54">+B195+1</f>
        <v>122</v>
      </c>
      <c r="D196" s="1560" t="s">
        <v>637</v>
      </c>
      <c r="E196" s="1559">
        <v>28</v>
      </c>
      <c r="F196" s="1561">
        <v>0</v>
      </c>
      <c r="G196" s="1561">
        <f t="shared" ref="G196:G206" si="55">G195</f>
        <v>214</v>
      </c>
      <c r="H196" s="1562">
        <f t="shared" si="51"/>
        <v>0.5</v>
      </c>
      <c r="I196" s="1563"/>
      <c r="J196" s="1559">
        <v>0</v>
      </c>
      <c r="K196" s="1564">
        <f t="shared" si="52"/>
        <v>0</v>
      </c>
      <c r="L196" s="1564">
        <f t="shared" ref="L196:L206" si="56">+K196+L195</f>
        <v>0</v>
      </c>
      <c r="M196" s="1563"/>
      <c r="N196" s="1559">
        <v>0</v>
      </c>
      <c r="O196" s="1564">
        <f t="shared" ref="O196:O206" si="57">IF($D$237="True-Up Adjustment",N196-J196,0)</f>
        <v>0</v>
      </c>
      <c r="P196" s="1564">
        <f t="shared" ref="P196:P206" si="58">IF($D$237="True-Up Adjustment",IF(AND(J196&gt;=0,N196&gt;=0),IF(O196&gt;=0,K196+O196,N196/J196*K196),IF(AND(J196&lt;0,N196&lt;0),IF(O196&lt;0,K196+O196,N196/J196*K196),0)),0)</f>
        <v>0</v>
      </c>
      <c r="Q196" s="1564">
        <f t="shared" si="53"/>
        <v>0</v>
      </c>
      <c r="R196" s="1564">
        <f t="shared" ref="R196:R206" si="59">R195+P196+Q196</f>
        <v>0</v>
      </c>
      <c r="S196" s="1563"/>
    </row>
    <row r="197" spans="2:19">
      <c r="B197" s="1554">
        <f t="shared" si="54"/>
        <v>123</v>
      </c>
      <c r="D197" s="1560" t="s">
        <v>664</v>
      </c>
      <c r="E197" s="1559">
        <v>31</v>
      </c>
      <c r="F197" s="1561">
        <v>0</v>
      </c>
      <c r="G197" s="1561">
        <f t="shared" si="55"/>
        <v>214</v>
      </c>
      <c r="H197" s="1562">
        <f t="shared" si="51"/>
        <v>0.5</v>
      </c>
      <c r="I197" s="1563"/>
      <c r="J197" s="1559">
        <v>0</v>
      </c>
      <c r="K197" s="1564">
        <f t="shared" si="52"/>
        <v>0</v>
      </c>
      <c r="L197" s="1564">
        <f t="shared" si="56"/>
        <v>0</v>
      </c>
      <c r="M197" s="1563"/>
      <c r="N197" s="1559">
        <v>0</v>
      </c>
      <c r="O197" s="1564">
        <f t="shared" si="57"/>
        <v>0</v>
      </c>
      <c r="P197" s="1564">
        <f t="shared" si="58"/>
        <v>0</v>
      </c>
      <c r="Q197" s="1564">
        <f t="shared" si="53"/>
        <v>0</v>
      </c>
      <c r="R197" s="1564">
        <f t="shared" si="59"/>
        <v>0</v>
      </c>
      <c r="S197" s="1563"/>
    </row>
    <row r="198" spans="2:19">
      <c r="B198" s="1554">
        <f t="shared" si="54"/>
        <v>124</v>
      </c>
      <c r="D198" s="1560" t="s">
        <v>213</v>
      </c>
      <c r="E198" s="1559">
        <v>30</v>
      </c>
      <c r="F198" s="1561">
        <v>0</v>
      </c>
      <c r="G198" s="1561">
        <f t="shared" si="55"/>
        <v>214</v>
      </c>
      <c r="H198" s="1562">
        <f t="shared" si="51"/>
        <v>0.5</v>
      </c>
      <c r="I198" s="1563"/>
      <c r="J198" s="1559">
        <v>0</v>
      </c>
      <c r="K198" s="1564">
        <f t="shared" si="52"/>
        <v>0</v>
      </c>
      <c r="L198" s="1564">
        <f t="shared" si="56"/>
        <v>0</v>
      </c>
      <c r="M198" s="1563"/>
      <c r="N198" s="1559">
        <v>0</v>
      </c>
      <c r="O198" s="1564">
        <f t="shared" si="57"/>
        <v>0</v>
      </c>
      <c r="P198" s="1564">
        <f t="shared" si="58"/>
        <v>0</v>
      </c>
      <c r="Q198" s="1564">
        <f t="shared" si="53"/>
        <v>0</v>
      </c>
      <c r="R198" s="1564">
        <f t="shared" si="59"/>
        <v>0</v>
      </c>
      <c r="S198" s="1563"/>
    </row>
    <row r="199" spans="2:19">
      <c r="B199" s="1554">
        <f t="shared" si="54"/>
        <v>125</v>
      </c>
      <c r="D199" s="1560" t="s">
        <v>214</v>
      </c>
      <c r="E199" s="1559">
        <v>31</v>
      </c>
      <c r="F199" s="1561">
        <v>0</v>
      </c>
      <c r="G199" s="1561">
        <f t="shared" si="55"/>
        <v>214</v>
      </c>
      <c r="H199" s="1562">
        <f t="shared" si="51"/>
        <v>0.5</v>
      </c>
      <c r="I199" s="1563"/>
      <c r="J199" s="1559">
        <v>0</v>
      </c>
      <c r="K199" s="1564">
        <f t="shared" si="52"/>
        <v>0</v>
      </c>
      <c r="L199" s="1564">
        <f t="shared" si="56"/>
        <v>0</v>
      </c>
      <c r="M199" s="1563"/>
      <c r="N199" s="1559">
        <v>0</v>
      </c>
      <c r="O199" s="1564">
        <f t="shared" si="57"/>
        <v>0</v>
      </c>
      <c r="P199" s="1564">
        <f t="shared" si="58"/>
        <v>0</v>
      </c>
      <c r="Q199" s="1564">
        <f t="shared" si="53"/>
        <v>0</v>
      </c>
      <c r="R199" s="1564">
        <f t="shared" si="59"/>
        <v>0</v>
      </c>
      <c r="S199" s="1563"/>
    </row>
    <row r="200" spans="2:19">
      <c r="B200" s="1554">
        <f t="shared" si="54"/>
        <v>126</v>
      </c>
      <c r="D200" s="1560" t="s">
        <v>215</v>
      </c>
      <c r="E200" s="1559">
        <v>30</v>
      </c>
      <c r="F200" s="1561">
        <f t="shared" ref="F200:F205" si="60">E201+F201</f>
        <v>185</v>
      </c>
      <c r="G200" s="1561">
        <f t="shared" si="55"/>
        <v>214</v>
      </c>
      <c r="H200" s="1562">
        <f t="shared" si="51"/>
        <v>0.86448598130841126</v>
      </c>
      <c r="I200" s="1563"/>
      <c r="J200" s="1559">
        <v>0</v>
      </c>
      <c r="K200" s="1564">
        <f t="shared" si="52"/>
        <v>0</v>
      </c>
      <c r="L200" s="1564">
        <f t="shared" si="56"/>
        <v>0</v>
      </c>
      <c r="M200" s="1563"/>
      <c r="N200" s="1559">
        <v>0</v>
      </c>
      <c r="O200" s="1564">
        <f t="shared" si="57"/>
        <v>0</v>
      </c>
      <c r="P200" s="1564">
        <f t="shared" si="58"/>
        <v>0</v>
      </c>
      <c r="Q200" s="1564">
        <f t="shared" si="53"/>
        <v>0</v>
      </c>
      <c r="R200" s="1564">
        <f t="shared" si="59"/>
        <v>0</v>
      </c>
      <c r="S200" s="1563"/>
    </row>
    <row r="201" spans="2:19">
      <c r="B201" s="1554">
        <f t="shared" si="54"/>
        <v>127</v>
      </c>
      <c r="D201" s="1560" t="s">
        <v>639</v>
      </c>
      <c r="E201" s="1559">
        <v>31</v>
      </c>
      <c r="F201" s="1561">
        <f t="shared" si="60"/>
        <v>154</v>
      </c>
      <c r="G201" s="1561">
        <f t="shared" si="55"/>
        <v>214</v>
      </c>
      <c r="H201" s="1562">
        <f t="shared" si="51"/>
        <v>0.71962616822429903</v>
      </c>
      <c r="I201" s="1563"/>
      <c r="J201" s="1559">
        <v>0</v>
      </c>
      <c r="K201" s="1564">
        <f t="shared" si="52"/>
        <v>0</v>
      </c>
      <c r="L201" s="1564">
        <f t="shared" si="56"/>
        <v>0</v>
      </c>
      <c r="M201" s="1563"/>
      <c r="N201" s="1559">
        <v>0</v>
      </c>
      <c r="O201" s="1564">
        <f t="shared" si="57"/>
        <v>0</v>
      </c>
      <c r="P201" s="1564">
        <f t="shared" si="58"/>
        <v>0</v>
      </c>
      <c r="Q201" s="1564">
        <f t="shared" si="53"/>
        <v>0</v>
      </c>
      <c r="R201" s="1564">
        <f t="shared" si="59"/>
        <v>0</v>
      </c>
      <c r="S201" s="1563"/>
    </row>
    <row r="202" spans="2:19">
      <c r="B202" s="1554">
        <f t="shared" si="54"/>
        <v>128</v>
      </c>
      <c r="D202" s="1560" t="s">
        <v>665</v>
      </c>
      <c r="E202" s="1559">
        <v>31</v>
      </c>
      <c r="F202" s="1561">
        <f t="shared" si="60"/>
        <v>123</v>
      </c>
      <c r="G202" s="1561">
        <f t="shared" si="55"/>
        <v>214</v>
      </c>
      <c r="H202" s="1562">
        <f t="shared" si="51"/>
        <v>0.57476635514018692</v>
      </c>
      <c r="I202" s="1563"/>
      <c r="J202" s="1559">
        <v>0</v>
      </c>
      <c r="K202" s="1564">
        <f t="shared" si="52"/>
        <v>0</v>
      </c>
      <c r="L202" s="1564">
        <f t="shared" si="56"/>
        <v>0</v>
      </c>
      <c r="M202" s="1563"/>
      <c r="N202" s="1559">
        <v>0</v>
      </c>
      <c r="O202" s="1564">
        <f t="shared" si="57"/>
        <v>0</v>
      </c>
      <c r="P202" s="1564">
        <f t="shared" si="58"/>
        <v>0</v>
      </c>
      <c r="Q202" s="1564">
        <f t="shared" si="53"/>
        <v>0</v>
      </c>
      <c r="R202" s="1564">
        <f t="shared" si="59"/>
        <v>0</v>
      </c>
      <c r="S202" s="1563"/>
    </row>
    <row r="203" spans="2:19">
      <c r="B203" s="1554">
        <f t="shared" si="54"/>
        <v>129</v>
      </c>
      <c r="D203" s="1560" t="s">
        <v>641</v>
      </c>
      <c r="E203" s="1559">
        <v>30</v>
      </c>
      <c r="F203" s="1561">
        <f t="shared" si="60"/>
        <v>93</v>
      </c>
      <c r="G203" s="1561">
        <f t="shared" si="55"/>
        <v>214</v>
      </c>
      <c r="H203" s="1562">
        <f t="shared" si="51"/>
        <v>0.43457943925233644</v>
      </c>
      <c r="I203" s="1563"/>
      <c r="J203" s="1559">
        <v>0</v>
      </c>
      <c r="K203" s="1564">
        <f t="shared" si="52"/>
        <v>0</v>
      </c>
      <c r="L203" s="1564">
        <f t="shared" si="56"/>
        <v>0</v>
      </c>
      <c r="M203" s="1563"/>
      <c r="N203" s="1559">
        <v>0</v>
      </c>
      <c r="O203" s="1564">
        <f t="shared" si="57"/>
        <v>0</v>
      </c>
      <c r="P203" s="1564">
        <f t="shared" si="58"/>
        <v>0</v>
      </c>
      <c r="Q203" s="1564">
        <f t="shared" si="53"/>
        <v>0</v>
      </c>
      <c r="R203" s="1564">
        <f t="shared" si="59"/>
        <v>0</v>
      </c>
      <c r="S203" s="1563"/>
    </row>
    <row r="204" spans="2:19">
      <c r="B204" s="1554">
        <f t="shared" si="54"/>
        <v>130</v>
      </c>
      <c r="D204" s="1560" t="s">
        <v>642</v>
      </c>
      <c r="E204" s="1559">
        <v>31</v>
      </c>
      <c r="F204" s="1561">
        <f t="shared" si="60"/>
        <v>62</v>
      </c>
      <c r="G204" s="1561">
        <f t="shared" si="55"/>
        <v>214</v>
      </c>
      <c r="H204" s="1562">
        <f t="shared" si="51"/>
        <v>0.28971962616822428</v>
      </c>
      <c r="I204" s="1563"/>
      <c r="J204" s="1559">
        <v>0</v>
      </c>
      <c r="K204" s="1564">
        <f t="shared" si="52"/>
        <v>0</v>
      </c>
      <c r="L204" s="1564">
        <f t="shared" si="56"/>
        <v>0</v>
      </c>
      <c r="M204" s="1563"/>
      <c r="N204" s="1559">
        <v>0</v>
      </c>
      <c r="O204" s="1564">
        <f t="shared" si="57"/>
        <v>0</v>
      </c>
      <c r="P204" s="1564">
        <f t="shared" si="58"/>
        <v>0</v>
      </c>
      <c r="Q204" s="1564">
        <f t="shared" si="53"/>
        <v>0</v>
      </c>
      <c r="R204" s="1564">
        <f t="shared" si="59"/>
        <v>0</v>
      </c>
      <c r="S204" s="1563"/>
    </row>
    <row r="205" spans="2:19">
      <c r="B205" s="1554">
        <f t="shared" si="54"/>
        <v>131</v>
      </c>
      <c r="D205" s="1560" t="s">
        <v>643</v>
      </c>
      <c r="E205" s="1559">
        <v>30</v>
      </c>
      <c r="F205" s="1561">
        <f t="shared" si="60"/>
        <v>32</v>
      </c>
      <c r="G205" s="1561">
        <f t="shared" si="55"/>
        <v>214</v>
      </c>
      <c r="H205" s="1562">
        <f t="shared" si="51"/>
        <v>0.14953271028037382</v>
      </c>
      <c r="I205" s="1563"/>
      <c r="J205" s="1559">
        <v>0</v>
      </c>
      <c r="K205" s="1564">
        <f t="shared" si="52"/>
        <v>0</v>
      </c>
      <c r="L205" s="1564">
        <f t="shared" si="56"/>
        <v>0</v>
      </c>
      <c r="M205" s="1563"/>
      <c r="N205" s="1559">
        <v>0</v>
      </c>
      <c r="O205" s="1564">
        <f t="shared" si="57"/>
        <v>0</v>
      </c>
      <c r="P205" s="1564">
        <f t="shared" si="58"/>
        <v>0</v>
      </c>
      <c r="Q205" s="1564">
        <f t="shared" si="53"/>
        <v>0</v>
      </c>
      <c r="R205" s="1564">
        <f t="shared" si="59"/>
        <v>0</v>
      </c>
      <c r="S205" s="1563"/>
    </row>
    <row r="206" spans="2:19">
      <c r="B206" s="1554">
        <f t="shared" si="54"/>
        <v>132</v>
      </c>
      <c r="D206" s="1565" t="s">
        <v>869</v>
      </c>
      <c r="E206" s="1559">
        <v>31</v>
      </c>
      <c r="F206" s="1566">
        <v>1</v>
      </c>
      <c r="G206" s="1561">
        <f t="shared" si="55"/>
        <v>214</v>
      </c>
      <c r="H206" s="1562">
        <f t="shared" si="51"/>
        <v>4.6728971962616819E-3</v>
      </c>
      <c r="I206" s="1563"/>
      <c r="J206" s="1559">
        <v>0</v>
      </c>
      <c r="K206" s="1564">
        <f t="shared" si="52"/>
        <v>0</v>
      </c>
      <c r="L206" s="1564">
        <f t="shared" si="56"/>
        <v>0</v>
      </c>
      <c r="M206" s="1563"/>
      <c r="N206" s="1559">
        <v>0</v>
      </c>
      <c r="O206" s="1564">
        <f t="shared" si="57"/>
        <v>0</v>
      </c>
      <c r="P206" s="1564">
        <f t="shared" si="58"/>
        <v>0</v>
      </c>
      <c r="Q206" s="1564">
        <f t="shared" si="53"/>
        <v>0</v>
      </c>
      <c r="R206" s="1564">
        <f t="shared" si="59"/>
        <v>0</v>
      </c>
      <c r="S206" s="1563"/>
    </row>
    <row r="207" spans="2:19">
      <c r="B207" s="1554">
        <f t="shared" si="54"/>
        <v>133</v>
      </c>
      <c r="D207" s="1567" t="str">
        <f>"Total (Sum of Lines "&amp;B195&amp;" - "&amp;B206&amp;")"</f>
        <v>Total (Sum of Lines 121 - 132)</v>
      </c>
      <c r="E207" s="1568">
        <f>SUM(E195:E206)</f>
        <v>365</v>
      </c>
      <c r="F207" s="1569"/>
      <c r="G207" s="1569"/>
      <c r="H207" s="1570"/>
      <c r="I207" s="1571"/>
      <c r="J207" s="1568">
        <f>SUM(J195:J206)</f>
        <v>0</v>
      </c>
      <c r="K207" s="1568">
        <f>SUM(K195:K206)</f>
        <v>0</v>
      </c>
      <c r="L207" s="1572"/>
      <c r="M207" s="1571"/>
      <c r="N207" s="1568">
        <f>SUM(N195:N206)</f>
        <v>0</v>
      </c>
      <c r="O207" s="1568">
        <f>SUM(O195:O206)</f>
        <v>0</v>
      </c>
      <c r="P207" s="1568">
        <f>SUM(P195:P206)</f>
        <v>0</v>
      </c>
      <c r="Q207" s="1568">
        <f>SUM(Q195:Q206)</f>
        <v>0</v>
      </c>
      <c r="R207" s="1572"/>
      <c r="S207" s="1571"/>
    </row>
    <row r="208" spans="2:19">
      <c r="D208" s="1573"/>
      <c r="E208" s="1573"/>
      <c r="F208" s="1573"/>
      <c r="G208" s="1573"/>
      <c r="H208" s="1574"/>
      <c r="I208" s="1574"/>
      <c r="K208" s="1575"/>
      <c r="L208" s="1574"/>
      <c r="M208" s="1574"/>
      <c r="N208" s="1585"/>
      <c r="O208" s="1575"/>
      <c r="P208" s="1575"/>
      <c r="Q208" s="1575"/>
      <c r="R208" s="1574"/>
      <c r="S208" s="1574"/>
    </row>
    <row r="209" spans="2:19">
      <c r="B209" s="1554">
        <f>B207+1</f>
        <v>134</v>
      </c>
      <c r="D209" s="1199" t="s">
        <v>1650</v>
      </c>
      <c r="I209" s="1574"/>
      <c r="J209" s="1559" t="s">
        <v>1899</v>
      </c>
      <c r="L209" s="1559">
        <f>'1E - ADIT Amortization'!Q357+'1E - ADIT Amortization'!Q366</f>
        <v>0</v>
      </c>
      <c r="M209" s="1576"/>
      <c r="N209" s="1559" t="s">
        <v>1899</v>
      </c>
      <c r="R209" s="1559">
        <v>0</v>
      </c>
    </row>
    <row r="210" spans="2:19">
      <c r="B210" s="1554">
        <f>B209+1</f>
        <v>135</v>
      </c>
      <c r="D210" s="1199" t="s">
        <v>1651</v>
      </c>
      <c r="I210" s="1574"/>
      <c r="J210" s="1577" t="s">
        <v>759</v>
      </c>
      <c r="L210" s="1578">
        <v>0</v>
      </c>
      <c r="M210" s="1579"/>
      <c r="N210" s="1577"/>
      <c r="R210" s="1578">
        <v>0</v>
      </c>
    </row>
    <row r="211" spans="2:19">
      <c r="B211" s="1554">
        <f>B210+1</f>
        <v>136</v>
      </c>
      <c r="D211" s="1199" t="s">
        <v>1652</v>
      </c>
      <c r="I211" s="1574"/>
      <c r="J211" s="1567" t="str">
        <f>"(Col. "&amp;L190&amp;", Line "&amp;B209&amp;" + Line "&amp;B210&amp;")"</f>
        <v>(Col. (H), Line 134 + Line 135)</v>
      </c>
      <c r="L211" s="1580">
        <f>L209+L210</f>
        <v>0</v>
      </c>
      <c r="M211" s="1574"/>
      <c r="N211" s="1567" t="str">
        <f>"(Col. "&amp;R190&amp;", Line "&amp;B209&amp;" + Line "&amp;B210&amp;")"</f>
        <v>(Col. (M), Line 134 + Line 135)</v>
      </c>
      <c r="R211" s="1580">
        <f>R209+R210</f>
        <v>0</v>
      </c>
    </row>
    <row r="212" spans="2:19">
      <c r="I212" s="1574"/>
      <c r="L212" s="1580"/>
      <c r="M212" s="1574"/>
      <c r="R212" s="1580"/>
    </row>
    <row r="213" spans="2:19">
      <c r="B213" s="1554">
        <f>B211+1</f>
        <v>137</v>
      </c>
      <c r="D213" s="1199" t="s">
        <v>1653</v>
      </c>
      <c r="I213" s="1574"/>
      <c r="J213" s="1559" t="s">
        <v>1995</v>
      </c>
      <c r="L213" s="1559">
        <f>'1E - ADIT Amortization'!Q357+'1E - ADIT Amortization'!Q366</f>
        <v>0</v>
      </c>
      <c r="M213" s="1576"/>
      <c r="N213" s="1559" t="s">
        <v>1995</v>
      </c>
      <c r="R213" s="1559">
        <v>0</v>
      </c>
    </row>
    <row r="214" spans="2:19">
      <c r="B214" s="1554">
        <f>B213+1</f>
        <v>138</v>
      </c>
      <c r="D214" s="1199" t="s">
        <v>1654</v>
      </c>
      <c r="I214" s="1574"/>
      <c r="J214" s="1577" t="s">
        <v>759</v>
      </c>
      <c r="L214" s="1578">
        <v>0</v>
      </c>
      <c r="M214" s="1574"/>
      <c r="N214" s="1577"/>
      <c r="R214" s="1578">
        <v>0</v>
      </c>
    </row>
    <row r="215" spans="2:19">
      <c r="B215" s="1554">
        <f>B214+1</f>
        <v>139</v>
      </c>
      <c r="D215" s="1199" t="s">
        <v>1655</v>
      </c>
      <c r="I215" s="1574"/>
      <c r="J215" s="1567" t="str">
        <f>"(Col. "&amp;L190&amp;", Line "&amp;B213&amp;" + Line "&amp;B214&amp;")"</f>
        <v>(Col. (H), Line 137 + Line 138)</v>
      </c>
      <c r="L215" s="1580">
        <f>L213+L214</f>
        <v>0</v>
      </c>
      <c r="M215" s="1574"/>
      <c r="N215" s="1567" t="str">
        <f>"(Col. "&amp;R190&amp;", Line "&amp;B213&amp;" + Line "&amp;B214&amp;")"</f>
        <v>(Col. (M), Line 137 + Line 138)</v>
      </c>
      <c r="R215" s="1580">
        <f>R213+R214</f>
        <v>0</v>
      </c>
    </row>
    <row r="216" spans="2:19">
      <c r="I216" s="1574"/>
      <c r="L216" s="1580"/>
      <c r="M216" s="1574"/>
      <c r="R216" s="1580"/>
    </row>
    <row r="217" spans="2:19">
      <c r="B217" s="1554">
        <f>B215+1</f>
        <v>140</v>
      </c>
      <c r="D217" s="1199" t="s">
        <v>1131</v>
      </c>
      <c r="I217" s="1574"/>
      <c r="J217" s="1567" t="str">
        <f>"([Col. "&amp;L190&amp;", Line "&amp;B211&amp;" + Line "&amp;B215&amp;"] /2)"</f>
        <v>([Col. (H), Line 136 + Line 139] /2)</v>
      </c>
      <c r="L217" s="1564">
        <f>(L211+L215)/2</f>
        <v>0</v>
      </c>
      <c r="M217" s="1574"/>
      <c r="N217" s="1567" t="str">
        <f>"([Col. "&amp;R190&amp;", Line "&amp;B211&amp;" + Line "&amp;B215&amp;"] /2)"</f>
        <v>([Col. (M), Line 136 + Line 139] /2)</v>
      </c>
      <c r="R217" s="1564">
        <f>(R211+R215)/2</f>
        <v>0</v>
      </c>
    </row>
    <row r="218" spans="2:19">
      <c r="B218" s="1554">
        <f>B217+1</f>
        <v>141</v>
      </c>
      <c r="D218" s="1616" t="s">
        <v>1656</v>
      </c>
      <c r="E218" s="1573"/>
      <c r="F218" s="1573"/>
      <c r="G218" s="1573"/>
      <c r="H218" s="1574"/>
      <c r="I218" s="1574"/>
      <c r="J218" s="1567" t="str">
        <f>"(Col. "&amp;L190&amp;", Line "&amp;B206&amp;" )"</f>
        <v>(Col. (H), Line 132 )</v>
      </c>
      <c r="K218" s="1575"/>
      <c r="L218" s="1564">
        <f>L206</f>
        <v>0</v>
      </c>
      <c r="M218" s="1574"/>
      <c r="N218" s="1567" t="str">
        <f>"(Col. "&amp;R190&amp;", Line "&amp;B206&amp;" )"</f>
        <v>(Col. (M), Line 132 )</v>
      </c>
      <c r="R218" s="1564">
        <f>R206</f>
        <v>0</v>
      </c>
    </row>
    <row r="219" spans="2:19" ht="13.5" thickBot="1">
      <c r="B219" s="1554">
        <f>B218+1</f>
        <v>142</v>
      </c>
      <c r="D219" s="1581" t="s">
        <v>1661</v>
      </c>
      <c r="E219" s="1573"/>
      <c r="F219" s="1573"/>
      <c r="G219" s="1573"/>
      <c r="H219" s="1574"/>
      <c r="I219" s="1574"/>
      <c r="J219" s="1567" t="str">
        <f>"(Col. "&amp;L190&amp;", Line "&amp;B217&amp;" + Line "&amp;B218&amp;")"</f>
        <v>(Col. (H), Line 140 + Line 141)</v>
      </c>
      <c r="K219" s="1575"/>
      <c r="L219" s="1582">
        <f>L217+L218</f>
        <v>0</v>
      </c>
      <c r="M219" s="1574"/>
      <c r="N219" s="1567" t="str">
        <f>"(Col. "&amp;R190&amp;", Line "&amp;B217&amp;" + Line "&amp;B218&amp;")"</f>
        <v>(Col. (M), Line 140 + Line 141)</v>
      </c>
      <c r="R219" s="1582">
        <f>R217+R218</f>
        <v>0</v>
      </c>
    </row>
    <row r="220" spans="2:19">
      <c r="D220" s="1573"/>
      <c r="E220" s="1573"/>
      <c r="F220" s="1573"/>
      <c r="G220" s="1573"/>
      <c r="H220" s="1574"/>
      <c r="I220" s="1574"/>
      <c r="K220" s="1575"/>
      <c r="L220" s="1574"/>
      <c r="M220" s="1574"/>
      <c r="O220" s="1575"/>
      <c r="P220" s="1575"/>
      <c r="Q220" s="1575"/>
      <c r="R220" s="1574"/>
      <c r="S220" s="1574"/>
    </row>
    <row r="221" spans="2:19">
      <c r="D221" s="1573"/>
      <c r="E221" s="1573"/>
      <c r="F221" s="1573" t="s">
        <v>101</v>
      </c>
      <c r="G221" s="1573"/>
      <c r="H221" s="1574"/>
      <c r="I221" s="1574"/>
      <c r="K221" s="1575"/>
      <c r="L221" s="1574"/>
      <c r="M221" s="1574"/>
      <c r="O221" s="1575"/>
      <c r="P221" s="1575"/>
      <c r="Q221" s="1575"/>
      <c r="R221" s="1574"/>
      <c r="S221" s="1574"/>
    </row>
    <row r="222" spans="2:19">
      <c r="D222" s="1879" t="s">
        <v>1671</v>
      </c>
      <c r="E222" s="1879"/>
      <c r="F222" s="1879"/>
      <c r="G222" s="1879"/>
      <c r="H222" s="1879"/>
      <c r="I222" s="1574"/>
      <c r="J222" s="1879" t="s">
        <v>1672</v>
      </c>
      <c r="K222" s="1879"/>
      <c r="L222" s="1879"/>
      <c r="M222" s="1879"/>
      <c r="N222" s="1879"/>
      <c r="O222" s="1575"/>
      <c r="P222" s="1575"/>
      <c r="Q222" s="1575"/>
      <c r="R222" s="1574"/>
      <c r="S222" s="1574"/>
    </row>
    <row r="223" spans="2:19" ht="12.75" customHeight="1">
      <c r="B223" s="1877" t="s">
        <v>1590</v>
      </c>
      <c r="C223" s="1734"/>
      <c r="D223" s="1730" t="s">
        <v>216</v>
      </c>
      <c r="E223" s="1731"/>
      <c r="F223" s="1730" t="s">
        <v>217</v>
      </c>
      <c r="G223" s="1732"/>
      <c r="H223" s="1729" t="s">
        <v>1579</v>
      </c>
      <c r="I223" s="1555"/>
      <c r="J223" s="1730" t="s">
        <v>1580</v>
      </c>
      <c r="K223" s="1731"/>
      <c r="L223" s="1730" t="s">
        <v>1581</v>
      </c>
      <c r="M223" s="1732"/>
      <c r="N223" s="1729" t="s">
        <v>1582</v>
      </c>
    </row>
    <row r="224" spans="2:19" ht="25.5">
      <c r="B224" s="1878"/>
      <c r="C224" s="1734"/>
      <c r="D224" s="1622" t="s">
        <v>1664</v>
      </c>
      <c r="E224" s="1623"/>
      <c r="F224" s="1624" t="s">
        <v>1665</v>
      </c>
      <c r="G224" s="1625"/>
      <c r="H224" s="1621" t="s">
        <v>1673</v>
      </c>
      <c r="J224" s="1622" t="s">
        <v>1664</v>
      </c>
      <c r="K224" s="1623"/>
      <c r="L224" s="1624" t="s">
        <v>1665</v>
      </c>
      <c r="M224" s="1625"/>
      <c r="N224" s="1621" t="s">
        <v>1666</v>
      </c>
      <c r="O224" s="1575"/>
      <c r="P224" s="1575"/>
      <c r="Q224" s="1575"/>
      <c r="R224" s="1574"/>
      <c r="S224" s="1574"/>
    </row>
    <row r="225" spans="1:19" ht="5.0999999999999996" customHeight="1">
      <c r="B225" s="1199"/>
      <c r="E225" s="1573"/>
      <c r="K225" s="1573"/>
      <c r="O225" s="1575"/>
      <c r="P225" s="1575"/>
      <c r="Q225" s="1575"/>
      <c r="R225" s="1574"/>
      <c r="S225" s="1574"/>
    </row>
    <row r="226" spans="1:19">
      <c r="B226" s="1554">
        <f>B219+1</f>
        <v>143</v>
      </c>
      <c r="D226" s="1626" t="s">
        <v>1667</v>
      </c>
      <c r="F226" s="1627" t="str">
        <f>"(Col. "&amp;L124&amp;", Line "&amp;B153&amp;")"</f>
        <v>(Col. (H), Line 96)</v>
      </c>
      <c r="G226" s="1628"/>
      <c r="H226" s="1629">
        <f>L153</f>
        <v>-266607.75</v>
      </c>
      <c r="I226" s="1628"/>
      <c r="J226" s="1626" t="s">
        <v>1667</v>
      </c>
      <c r="L226" s="1627" t="str">
        <f>"(Col. "&amp;R124&amp;", Line "&amp;B153&amp;")"</f>
        <v>(Col. (M), Line 96)</v>
      </c>
      <c r="M226" s="1628"/>
      <c r="N226" s="1629">
        <f>R153</f>
        <v>-266607.75</v>
      </c>
      <c r="O226" s="1575"/>
      <c r="P226" s="1575"/>
      <c r="Q226" s="1575"/>
      <c r="R226" s="1574"/>
      <c r="S226" s="1574"/>
    </row>
    <row r="227" spans="1:19">
      <c r="B227" s="1554">
        <f>B226+1</f>
        <v>144</v>
      </c>
      <c r="D227" s="1626" t="s">
        <v>1668</v>
      </c>
      <c r="F227" s="1627" t="str">
        <f>"(Col. "&amp;L157&amp;", Line "&amp;B186&amp;")"</f>
        <v>(Col. (H), Line 119)</v>
      </c>
      <c r="H227" s="1630">
        <f>L186</f>
        <v>-1256068.8999999999</v>
      </c>
      <c r="J227" s="1626" t="s">
        <v>1668</v>
      </c>
      <c r="L227" s="1627" t="str">
        <f>"(Col. "&amp;R157&amp;", Line "&amp;B186&amp;")"</f>
        <v>(Col. (M), Line 119)</v>
      </c>
      <c r="N227" s="1630">
        <f>R186</f>
        <v>-1256068.8999999999</v>
      </c>
      <c r="O227" s="1575"/>
      <c r="P227" s="1575"/>
      <c r="Q227" s="1575"/>
      <c r="R227" s="1574"/>
      <c r="S227" s="1574"/>
    </row>
    <row r="228" spans="1:19">
      <c r="B228" s="1554">
        <f>B227+1</f>
        <v>145</v>
      </c>
      <c r="D228" s="1626" t="s">
        <v>1669</v>
      </c>
      <c r="F228" s="1627" t="str">
        <f>"(Col. "&amp;L190&amp;", Line "&amp;B219&amp;")"</f>
        <v>(Col. (H), Line 142)</v>
      </c>
      <c r="H228" s="1630">
        <f>L219</f>
        <v>0</v>
      </c>
      <c r="J228" s="1626" t="s">
        <v>1669</v>
      </c>
      <c r="L228" s="1627" t="str">
        <f>"(Col. "&amp;R190&amp;", Line "&amp;B219&amp;")"</f>
        <v>(Col. (M), Line 142)</v>
      </c>
      <c r="N228" s="1630">
        <f>R219</f>
        <v>0</v>
      </c>
      <c r="O228" s="1575"/>
      <c r="P228" s="1575"/>
      <c r="Q228" s="1575"/>
      <c r="R228" s="1574"/>
      <c r="S228" s="1574"/>
    </row>
    <row r="229" spans="1:19" ht="5.0999999999999996" customHeight="1">
      <c r="D229" s="1573"/>
      <c r="E229" s="1573"/>
      <c r="J229" s="1573"/>
      <c r="K229" s="1573"/>
      <c r="O229" s="1575"/>
      <c r="P229" s="1575"/>
      <c r="Q229" s="1575"/>
      <c r="R229" s="1574"/>
      <c r="S229" s="1574"/>
    </row>
    <row r="230" spans="1:19">
      <c r="B230" s="1554">
        <f>B228+1</f>
        <v>146</v>
      </c>
      <c r="D230" s="14" t="s">
        <v>1462</v>
      </c>
      <c r="E230" s="1573"/>
      <c r="F230" s="1627" t="s">
        <v>1894</v>
      </c>
      <c r="G230" s="1631"/>
      <c r="H230" s="1632">
        <f>SUM(H226:H229)</f>
        <v>-1522676.65</v>
      </c>
      <c r="I230" s="1631"/>
      <c r="J230" s="14" t="s">
        <v>1462</v>
      </c>
      <c r="K230" s="1573"/>
      <c r="L230" s="1633" t="s">
        <v>1894</v>
      </c>
      <c r="M230" s="1631"/>
      <c r="N230" s="1632">
        <f>SUM(N226:N229)</f>
        <v>-1522676.65</v>
      </c>
      <c r="O230" s="1575"/>
      <c r="P230" s="1575"/>
      <c r="Q230" s="1575"/>
      <c r="R230" s="1574"/>
      <c r="S230" s="1574"/>
    </row>
    <row r="231" spans="1:19">
      <c r="D231" s="1573"/>
      <c r="E231" s="1573"/>
      <c r="F231" s="1573"/>
      <c r="G231" s="1573"/>
      <c r="H231" s="1574"/>
      <c r="I231" s="1574"/>
      <c r="K231" s="1575"/>
      <c r="L231" s="1574"/>
      <c r="M231" s="1574"/>
      <c r="O231" s="1575"/>
      <c r="P231" s="1575"/>
      <c r="Q231" s="1575"/>
      <c r="R231" s="1574"/>
      <c r="S231" s="1574"/>
    </row>
    <row r="232" spans="1:19">
      <c r="A232" s="1586"/>
      <c r="B232" s="1587" t="s">
        <v>1556</v>
      </c>
      <c r="C232" s="1586"/>
      <c r="D232" s="1586"/>
      <c r="E232" s="1586"/>
      <c r="F232" s="1586"/>
      <c r="G232" s="1586"/>
      <c r="H232" s="1586"/>
      <c r="I232" s="1586"/>
      <c r="J232" s="1586"/>
      <c r="K232" s="1586"/>
      <c r="L232" s="1586"/>
      <c r="M232" s="1586"/>
      <c r="N232" s="1586"/>
      <c r="O232" s="1586"/>
      <c r="P232" s="1586"/>
      <c r="Q232" s="1586"/>
      <c r="R232" s="1586"/>
      <c r="S232" s="1586"/>
    </row>
    <row r="234" spans="1:19">
      <c r="B234" s="1860" t="s">
        <v>1615</v>
      </c>
      <c r="C234" s="1860"/>
      <c r="D234" s="1860"/>
      <c r="E234" s="1860"/>
      <c r="F234" s="1860"/>
      <c r="G234" s="1860"/>
      <c r="H234" s="1860"/>
      <c r="I234" s="1860"/>
      <c r="J234" s="1860"/>
      <c r="K234" s="1860"/>
      <c r="L234" s="1860"/>
      <c r="M234" s="1574"/>
      <c r="O234" s="1575"/>
      <c r="P234" s="1575"/>
      <c r="Q234" s="1575"/>
      <c r="R234" s="1574"/>
      <c r="S234" s="1574"/>
    </row>
    <row r="235" spans="1:19">
      <c r="B235" s="1860"/>
      <c r="C235" s="1860"/>
      <c r="D235" s="1860"/>
      <c r="E235" s="1860"/>
      <c r="F235" s="1860"/>
      <c r="G235" s="1860"/>
      <c r="H235" s="1860"/>
      <c r="I235" s="1860"/>
      <c r="J235" s="1860"/>
      <c r="K235" s="1860"/>
      <c r="L235" s="1860"/>
      <c r="M235" s="1574"/>
      <c r="O235" s="1575"/>
      <c r="P235" s="1575"/>
      <c r="Q235" s="1575"/>
      <c r="R235" s="1574"/>
      <c r="S235" s="1574"/>
    </row>
    <row r="236" spans="1:19">
      <c r="D236" s="1573"/>
      <c r="E236" s="1573"/>
      <c r="F236" s="1573"/>
      <c r="G236" s="1573"/>
      <c r="H236" s="1574"/>
      <c r="I236" s="1574"/>
      <c r="K236" s="1575"/>
      <c r="L236" s="1574"/>
      <c r="M236" s="1574"/>
      <c r="O236" s="1575"/>
      <c r="P236" s="1575"/>
      <c r="Q236" s="1575"/>
      <c r="R236" s="1574"/>
      <c r="S236" s="1574"/>
    </row>
    <row r="237" spans="1:19">
      <c r="B237" s="1552" t="s">
        <v>1616</v>
      </c>
      <c r="D237" s="1588" t="str">
        <f>'1A - ADIT Summary'!D177</f>
        <v>True-Up Adjustment</v>
      </c>
      <c r="E237" s="1589" t="str">
        <f>IF(D237="Projected Activity","Check",IF(D237="True-Up Adjustment","Check","Error"))</f>
        <v>Check</v>
      </c>
      <c r="F237" s="1573"/>
      <c r="G237" s="1573"/>
      <c r="H237" s="1574"/>
      <c r="I237" s="1574"/>
      <c r="K237" s="1575"/>
      <c r="L237" s="1574"/>
      <c r="M237" s="1574"/>
      <c r="O237" s="1575"/>
      <c r="P237" s="1575"/>
      <c r="Q237" s="1575"/>
      <c r="R237" s="1574"/>
      <c r="S237" s="1574"/>
    </row>
    <row r="238" spans="1:19">
      <c r="D238" s="1573"/>
      <c r="E238" s="1573"/>
      <c r="F238" s="1573"/>
      <c r="G238" s="1573"/>
      <c r="H238" s="1574"/>
      <c r="I238" s="1574"/>
      <c r="K238" s="1575"/>
      <c r="L238" s="1574"/>
      <c r="M238" s="1574"/>
      <c r="O238" s="1575"/>
      <c r="P238" s="1575"/>
      <c r="Q238" s="1575"/>
      <c r="R238" s="1574"/>
      <c r="S238" s="1574"/>
    </row>
    <row r="239" spans="1:19">
      <c r="B239" s="1869" t="s">
        <v>1617</v>
      </c>
      <c r="C239" s="1869"/>
      <c r="D239" s="1869"/>
      <c r="E239" s="1869"/>
      <c r="F239" s="1869"/>
      <c r="G239" s="1869"/>
      <c r="H239" s="1869"/>
      <c r="I239" s="1869"/>
      <c r="J239" s="1869"/>
      <c r="K239" s="1869"/>
      <c r="L239" s="1869"/>
      <c r="M239" s="1574"/>
      <c r="O239" s="1575"/>
      <c r="P239" s="1575"/>
      <c r="Q239" s="1575"/>
      <c r="R239" s="1574"/>
      <c r="S239" s="1574"/>
    </row>
    <row r="240" spans="1:19">
      <c r="B240" s="1869"/>
      <c r="C240" s="1869"/>
      <c r="D240" s="1869"/>
      <c r="E240" s="1869"/>
      <c r="F240" s="1869"/>
      <c r="G240" s="1869"/>
      <c r="H240" s="1869"/>
      <c r="I240" s="1869"/>
      <c r="J240" s="1869"/>
      <c r="K240" s="1869"/>
      <c r="L240" s="1869"/>
      <c r="M240" s="1574"/>
      <c r="O240" s="1575"/>
      <c r="P240" s="1575"/>
      <c r="Q240" s="1575"/>
      <c r="R240" s="1574"/>
      <c r="S240" s="1574"/>
    </row>
    <row r="241" spans="1:19">
      <c r="D241" s="1573"/>
      <c r="E241" s="1573"/>
      <c r="F241" s="1573"/>
      <c r="G241" s="1573"/>
      <c r="H241" s="1574"/>
      <c r="I241" s="1574"/>
      <c r="K241" s="1575"/>
      <c r="L241" s="1574"/>
      <c r="M241" s="1574"/>
      <c r="O241" s="1575"/>
      <c r="P241" s="1575"/>
      <c r="Q241" s="1575"/>
      <c r="R241" s="1574"/>
      <c r="S241" s="1574"/>
    </row>
    <row r="242" spans="1:19">
      <c r="A242" s="1586"/>
      <c r="B242" s="1587" t="s">
        <v>1054</v>
      </c>
      <c r="C242" s="1586"/>
      <c r="D242" s="1586"/>
      <c r="E242" s="1586"/>
      <c r="F242" s="1586"/>
      <c r="G242" s="1586"/>
      <c r="H242" s="1586"/>
      <c r="I242" s="1586"/>
      <c r="J242" s="1586"/>
      <c r="K242" s="1586"/>
      <c r="L242" s="1586"/>
      <c r="M242" s="1586"/>
      <c r="N242" s="1586"/>
      <c r="O242" s="1586"/>
      <c r="P242" s="1586"/>
      <c r="Q242" s="1586"/>
      <c r="R242" s="1586"/>
      <c r="S242" s="1586"/>
    </row>
    <row r="244" spans="1:19" ht="15.75" customHeight="1">
      <c r="A244" s="1551"/>
      <c r="B244" s="1552" t="s">
        <v>9</v>
      </c>
      <c r="C244" s="1860" t="s">
        <v>1674</v>
      </c>
      <c r="D244" s="1860"/>
      <c r="E244" s="1860"/>
      <c r="F244" s="1860"/>
      <c r="G244" s="1860"/>
      <c r="H244" s="1860"/>
      <c r="I244" s="1860"/>
      <c r="J244" s="1860"/>
      <c r="K244" s="1860"/>
      <c r="L244" s="1860"/>
    </row>
    <row r="245" spans="1:19">
      <c r="A245" s="1551"/>
      <c r="B245" s="1552"/>
      <c r="C245" s="1860"/>
      <c r="D245" s="1860"/>
      <c r="E245" s="1860"/>
      <c r="F245" s="1860"/>
      <c r="G245" s="1860"/>
      <c r="H245" s="1860"/>
      <c r="I245" s="1860"/>
      <c r="J245" s="1860"/>
      <c r="K245" s="1860"/>
      <c r="L245" s="1860"/>
    </row>
    <row r="246" spans="1:19">
      <c r="A246" s="1551"/>
      <c r="B246" s="1552"/>
      <c r="C246" s="1860"/>
      <c r="D246" s="1860"/>
      <c r="E246" s="1860"/>
      <c r="F246" s="1860"/>
      <c r="G246" s="1860"/>
      <c r="H246" s="1860"/>
      <c r="I246" s="1860"/>
      <c r="J246" s="1860"/>
      <c r="K246" s="1860"/>
      <c r="L246" s="1860"/>
    </row>
    <row r="247" spans="1:19">
      <c r="C247" s="1860"/>
      <c r="D247" s="1860"/>
      <c r="E247" s="1860"/>
      <c r="F247" s="1860"/>
      <c r="G247" s="1860"/>
      <c r="H247" s="1860"/>
      <c r="I247" s="1860"/>
      <c r="J247" s="1860"/>
      <c r="K247" s="1860"/>
      <c r="L247" s="1860"/>
    </row>
    <row r="248" spans="1:19">
      <c r="C248" s="1860"/>
      <c r="D248" s="1860"/>
      <c r="E248" s="1860"/>
      <c r="F248" s="1860"/>
      <c r="G248" s="1860"/>
      <c r="H248" s="1860"/>
      <c r="I248" s="1860"/>
      <c r="J248" s="1860"/>
      <c r="K248" s="1860"/>
      <c r="L248" s="1860"/>
    </row>
    <row r="249" spans="1:19" ht="15.75" customHeight="1">
      <c r="A249" s="1551"/>
      <c r="B249" s="1552" t="s">
        <v>10</v>
      </c>
      <c r="C249" s="1860" t="s">
        <v>1675</v>
      </c>
      <c r="D249" s="1860"/>
      <c r="E249" s="1860"/>
      <c r="F249" s="1860"/>
      <c r="G249" s="1860"/>
      <c r="H249" s="1860"/>
      <c r="I249" s="1860"/>
      <c r="J249" s="1860"/>
      <c r="K249" s="1860"/>
      <c r="L249" s="1860"/>
    </row>
    <row r="250" spans="1:19">
      <c r="A250" s="1551"/>
      <c r="B250" s="1552"/>
      <c r="C250" s="1860"/>
      <c r="D250" s="1860"/>
      <c r="E250" s="1860"/>
      <c r="F250" s="1860"/>
      <c r="G250" s="1860"/>
      <c r="H250" s="1860"/>
      <c r="I250" s="1860"/>
      <c r="J250" s="1860"/>
      <c r="K250" s="1860"/>
      <c r="L250" s="1860"/>
    </row>
    <row r="251" spans="1:19">
      <c r="A251" s="1551"/>
      <c r="B251" s="1552"/>
      <c r="C251" s="1860"/>
      <c r="D251" s="1860"/>
      <c r="E251" s="1860"/>
      <c r="F251" s="1860"/>
      <c r="G251" s="1860"/>
      <c r="H251" s="1860"/>
      <c r="I251" s="1860"/>
      <c r="J251" s="1860"/>
      <c r="K251" s="1860"/>
      <c r="L251" s="1860"/>
    </row>
    <row r="252" spans="1:19">
      <c r="A252" s="1551"/>
      <c r="B252" s="1552"/>
      <c r="C252" s="1860"/>
      <c r="D252" s="1860"/>
      <c r="E252" s="1860"/>
      <c r="F252" s="1860"/>
      <c r="G252" s="1860"/>
      <c r="H252" s="1860"/>
      <c r="I252" s="1860"/>
      <c r="J252" s="1860"/>
      <c r="K252" s="1860"/>
      <c r="L252" s="1860"/>
    </row>
    <row r="253" spans="1:19">
      <c r="A253" s="1551"/>
      <c r="B253" s="1552"/>
      <c r="C253" s="1860"/>
      <c r="D253" s="1860"/>
      <c r="E253" s="1860"/>
      <c r="F253" s="1860"/>
      <c r="G253" s="1860"/>
      <c r="H253" s="1860"/>
      <c r="I253" s="1860"/>
      <c r="J253" s="1860"/>
      <c r="K253" s="1860"/>
      <c r="L253" s="1860"/>
    </row>
    <row r="254" spans="1:19">
      <c r="A254" s="1551"/>
      <c r="B254" s="1552"/>
      <c r="C254" s="1860"/>
      <c r="D254" s="1860"/>
      <c r="E254" s="1860"/>
      <c r="F254" s="1860"/>
      <c r="G254" s="1860"/>
      <c r="H254" s="1860"/>
      <c r="I254" s="1860"/>
      <c r="J254" s="1860"/>
      <c r="K254" s="1860"/>
      <c r="L254" s="1860"/>
    </row>
    <row r="255" spans="1:19">
      <c r="A255" s="1551"/>
      <c r="B255" s="1552"/>
      <c r="C255" s="1860"/>
      <c r="D255" s="1860"/>
      <c r="E255" s="1860"/>
      <c r="F255" s="1860"/>
      <c r="G255" s="1860"/>
      <c r="H255" s="1860"/>
      <c r="I255" s="1860"/>
      <c r="J255" s="1860"/>
      <c r="K255" s="1860"/>
      <c r="L255" s="1860"/>
    </row>
    <row r="256" spans="1:19">
      <c r="A256" s="1551"/>
      <c r="B256" s="1552"/>
      <c r="C256" s="1860"/>
      <c r="D256" s="1860"/>
      <c r="E256" s="1860"/>
      <c r="F256" s="1860"/>
      <c r="G256" s="1860"/>
      <c r="H256" s="1860"/>
      <c r="I256" s="1860"/>
      <c r="J256" s="1860"/>
      <c r="K256" s="1860"/>
      <c r="L256" s="1860"/>
    </row>
    <row r="257" spans="1:12">
      <c r="C257" s="1860"/>
      <c r="D257" s="1860"/>
      <c r="E257" s="1860"/>
      <c r="F257" s="1860"/>
      <c r="G257" s="1860"/>
      <c r="H257" s="1860"/>
      <c r="I257" s="1860"/>
      <c r="J257" s="1860"/>
      <c r="K257" s="1860"/>
      <c r="L257" s="1860"/>
    </row>
    <row r="258" spans="1:12" ht="15.75" customHeight="1">
      <c r="A258" s="1551"/>
      <c r="B258" s="1552" t="s">
        <v>11</v>
      </c>
      <c r="C258" s="1860" t="s">
        <v>1676</v>
      </c>
      <c r="D258" s="1860"/>
      <c r="E258" s="1860"/>
      <c r="F258" s="1860"/>
      <c r="G258" s="1860"/>
      <c r="H258" s="1860"/>
      <c r="I258" s="1860"/>
      <c r="J258" s="1860"/>
      <c r="K258" s="1860"/>
      <c r="L258" s="1860"/>
    </row>
    <row r="259" spans="1:12">
      <c r="A259" s="1551"/>
      <c r="B259" s="1552"/>
      <c r="C259" s="1860"/>
      <c r="D259" s="1860"/>
      <c r="E259" s="1860"/>
      <c r="F259" s="1860"/>
      <c r="G259" s="1860"/>
      <c r="H259" s="1860"/>
      <c r="I259" s="1860"/>
      <c r="J259" s="1860"/>
      <c r="K259" s="1860"/>
      <c r="L259" s="1860"/>
    </row>
    <row r="260" spans="1:12">
      <c r="A260" s="1551"/>
      <c r="B260" s="1552"/>
      <c r="C260" s="1860"/>
      <c r="D260" s="1860"/>
      <c r="E260" s="1860"/>
      <c r="F260" s="1860"/>
      <c r="G260" s="1860"/>
      <c r="H260" s="1860"/>
      <c r="I260" s="1860"/>
      <c r="J260" s="1860"/>
      <c r="K260" s="1860"/>
      <c r="L260" s="1860"/>
    </row>
    <row r="261" spans="1:12">
      <c r="A261" s="1551"/>
      <c r="B261" s="1552"/>
      <c r="C261" s="1860"/>
      <c r="D261" s="1860"/>
      <c r="E261" s="1860"/>
      <c r="F261" s="1860"/>
      <c r="G261" s="1860"/>
      <c r="H261" s="1860"/>
      <c r="I261" s="1860"/>
      <c r="J261" s="1860"/>
      <c r="K261" s="1860"/>
      <c r="L261" s="1860"/>
    </row>
    <row r="262" spans="1:12" ht="15.75" customHeight="1">
      <c r="A262" s="1551"/>
      <c r="B262" s="1552" t="s">
        <v>14</v>
      </c>
      <c r="C262" s="1860" t="s">
        <v>1677</v>
      </c>
      <c r="D262" s="1860"/>
      <c r="E262" s="1860"/>
      <c r="F262" s="1860"/>
      <c r="G262" s="1860"/>
      <c r="H262" s="1860"/>
      <c r="I262" s="1860"/>
      <c r="J262" s="1860"/>
      <c r="K262" s="1860"/>
      <c r="L262" s="1860"/>
    </row>
    <row r="263" spans="1:12" ht="15.75" customHeight="1">
      <c r="C263" s="1860"/>
      <c r="D263" s="1860"/>
      <c r="E263" s="1860"/>
      <c r="F263" s="1860"/>
      <c r="G263" s="1860"/>
      <c r="H263" s="1860"/>
      <c r="I263" s="1860"/>
      <c r="J263" s="1860"/>
      <c r="K263" s="1860"/>
      <c r="L263" s="1860"/>
    </row>
    <row r="264" spans="1:12" ht="15.75" customHeight="1">
      <c r="A264" s="1551"/>
      <c r="B264" s="1552" t="s">
        <v>166</v>
      </c>
      <c r="C264" s="1860" t="s">
        <v>1678</v>
      </c>
      <c r="D264" s="1860"/>
      <c r="E264" s="1860"/>
      <c r="F264" s="1860"/>
      <c r="G264" s="1860"/>
      <c r="H264" s="1860"/>
      <c r="I264" s="1860"/>
      <c r="J264" s="1860"/>
      <c r="K264" s="1860"/>
      <c r="L264" s="1860"/>
    </row>
    <row r="265" spans="1:12" ht="15.75" customHeight="1">
      <c r="C265" s="1860"/>
      <c r="D265" s="1860"/>
      <c r="E265" s="1860"/>
      <c r="F265" s="1860"/>
      <c r="G265" s="1860"/>
      <c r="H265" s="1860"/>
      <c r="I265" s="1860"/>
      <c r="J265" s="1860"/>
      <c r="K265" s="1860"/>
      <c r="L265" s="1860"/>
    </row>
    <row r="266" spans="1:12" ht="15.75" customHeight="1">
      <c r="A266" s="1551"/>
      <c r="B266" s="1552" t="s">
        <v>169</v>
      </c>
      <c r="C266" s="1861" t="s">
        <v>1679</v>
      </c>
      <c r="D266" s="1861"/>
      <c r="E266" s="1861"/>
      <c r="F266" s="1861"/>
      <c r="G266" s="1861"/>
      <c r="H266" s="1861"/>
      <c r="I266" s="1861"/>
      <c r="J266" s="1861"/>
      <c r="K266" s="1861"/>
      <c r="L266" s="1861"/>
    </row>
    <row r="267" spans="1:12">
      <c r="C267" s="1861"/>
      <c r="D267" s="1861"/>
      <c r="E267" s="1861"/>
      <c r="F267" s="1861"/>
      <c r="G267" s="1861"/>
      <c r="H267" s="1861"/>
      <c r="I267" s="1861"/>
      <c r="J267" s="1861"/>
      <c r="K267" s="1861"/>
      <c r="L267" s="1861"/>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1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2BE9-C576-450C-8E27-1BD45AF0482D}">
  <dimension ref="A1:U496"/>
  <sheetViews>
    <sheetView topLeftCell="A424" zoomScale="80" zoomScaleNormal="80" workbookViewId="0">
      <selection activeCell="M424" sqref="M424"/>
    </sheetView>
  </sheetViews>
  <sheetFormatPr defaultColWidth="9.140625" defaultRowHeight="12.75"/>
  <cols>
    <col min="1" max="1" width="9.140625" style="1199"/>
    <col min="2" max="2" width="5.7109375" style="1199" customWidth="1"/>
    <col min="3" max="3" width="9.42578125" style="1199" customWidth="1"/>
    <col min="4" max="4" width="2.7109375" style="1199" customWidth="1"/>
    <col min="5" max="5" width="46.85546875" style="1199" bestFit="1" customWidth="1"/>
    <col min="6" max="6" width="2.7109375" style="1199" customWidth="1"/>
    <col min="7" max="7" width="19.140625" style="1199" bestFit="1" customWidth="1"/>
    <col min="8" max="8" width="2.7109375" style="1199" customWidth="1"/>
    <col min="9" max="9" width="19.140625" style="1199" bestFit="1" customWidth="1"/>
    <col min="10" max="10" width="2.7109375" style="1199" customWidth="1"/>
    <col min="11" max="11" width="18.5703125" style="1199" bestFit="1" customWidth="1"/>
    <col min="12" max="12" width="5.7109375" style="1199" customWidth="1"/>
    <col min="13" max="13" width="19.140625" style="1199" bestFit="1" customWidth="1"/>
    <col min="14" max="14" width="2.7109375" style="1199" customWidth="1"/>
    <col min="15" max="15" width="17.42578125" style="1199" customWidth="1"/>
    <col min="16" max="16" width="2.7109375" style="1199" customWidth="1"/>
    <col min="17" max="17" width="17.42578125" style="1199" bestFit="1" customWidth="1"/>
    <col min="18" max="18" width="5.7109375" style="1199" customWidth="1"/>
    <col min="19" max="19" width="9.140625" style="1199"/>
    <col min="20" max="20" width="15.28515625" style="1199" customWidth="1"/>
    <col min="21" max="21" width="15.140625" style="1199" customWidth="1"/>
    <col min="22" max="16384" width="9.140625" style="1199"/>
  </cols>
  <sheetData>
    <row r="1" spans="1:20" ht="15.75">
      <c r="A1" s="1870" t="s">
        <v>344</v>
      </c>
      <c r="B1" s="1870"/>
      <c r="C1" s="1870"/>
      <c r="D1" s="1870"/>
      <c r="E1" s="1870"/>
      <c r="F1" s="1870"/>
      <c r="G1" s="1870"/>
      <c r="H1" s="1870"/>
      <c r="I1" s="1870"/>
      <c r="J1" s="1870"/>
      <c r="K1" s="1870"/>
      <c r="L1" s="1870"/>
      <c r="M1" s="1870"/>
      <c r="N1" s="1870"/>
      <c r="O1" s="1870"/>
      <c r="P1" s="1870"/>
      <c r="Q1" s="1870"/>
      <c r="R1" s="1870"/>
      <c r="S1" s="1870"/>
    </row>
    <row r="2" spans="1:20" ht="15.75">
      <c r="A2" s="1870" t="s">
        <v>1680</v>
      </c>
      <c r="B2" s="1870"/>
      <c r="C2" s="1870"/>
      <c r="D2" s="1870"/>
      <c r="E2" s="1870"/>
      <c r="F2" s="1870"/>
      <c r="G2" s="1870"/>
      <c r="H2" s="1870"/>
      <c r="I2" s="1870"/>
      <c r="J2" s="1870"/>
      <c r="K2" s="1870"/>
      <c r="L2" s="1870"/>
      <c r="M2" s="1870"/>
      <c r="N2" s="1870"/>
      <c r="O2" s="1870"/>
      <c r="P2" s="1870"/>
      <c r="Q2" s="1870"/>
      <c r="R2" s="1870"/>
      <c r="S2" s="1870"/>
    </row>
    <row r="3" spans="1:20" ht="15.75">
      <c r="A3" s="1870" t="s">
        <v>1681</v>
      </c>
      <c r="B3" s="1870"/>
      <c r="C3" s="1870"/>
      <c r="D3" s="1870"/>
      <c r="E3" s="1870"/>
      <c r="F3" s="1870"/>
      <c r="G3" s="1870"/>
      <c r="H3" s="1870"/>
      <c r="I3" s="1870"/>
      <c r="J3" s="1870"/>
      <c r="K3" s="1870"/>
      <c r="L3" s="1870"/>
      <c r="M3" s="1870"/>
      <c r="N3" s="1870"/>
      <c r="O3" s="1870"/>
      <c r="P3" s="1870"/>
      <c r="Q3" s="1870"/>
      <c r="R3" s="1870"/>
      <c r="S3" s="1870"/>
    </row>
    <row r="4" spans="1:20" ht="15">
      <c r="A4" s="1634"/>
      <c r="G4" s="1634"/>
      <c r="O4" s="1634"/>
    </row>
    <row r="5" spans="1:20" ht="15">
      <c r="A5" s="1634"/>
      <c r="G5" s="1634"/>
      <c r="O5" s="1634"/>
    </row>
    <row r="6" spans="1:20" ht="15.75" customHeight="1">
      <c r="C6" s="1880" t="s">
        <v>1645</v>
      </c>
      <c r="D6" s="1880"/>
      <c r="E6" s="1880"/>
      <c r="F6" s="1880"/>
      <c r="G6" s="1880"/>
      <c r="H6" s="1880"/>
      <c r="I6" s="1880"/>
      <c r="J6" s="1880"/>
      <c r="K6" s="1880"/>
      <c r="L6" s="1880"/>
      <c r="M6" s="1880"/>
      <c r="N6" s="1880"/>
      <c r="O6" s="1880"/>
      <c r="P6" s="1880"/>
      <c r="Q6" s="1880"/>
    </row>
    <row r="8" spans="1:20" ht="15.75" customHeight="1">
      <c r="C8" s="1888" t="s">
        <v>1682</v>
      </c>
      <c r="D8" s="1889"/>
      <c r="E8" s="1889"/>
      <c r="F8" s="1889"/>
      <c r="G8" s="1889"/>
      <c r="H8" s="1889"/>
      <c r="I8" s="1889"/>
      <c r="J8" s="1889"/>
      <c r="K8" s="1889"/>
      <c r="L8" s="1889"/>
      <c r="M8" s="1889"/>
      <c r="N8" s="1889"/>
      <c r="O8" s="1889"/>
      <c r="P8" s="1889"/>
      <c r="Q8" s="1890"/>
    </row>
    <row r="10" spans="1:20">
      <c r="E10" s="1552" t="s">
        <v>216</v>
      </c>
      <c r="F10" s="1552"/>
      <c r="G10" s="1552" t="s">
        <v>217</v>
      </c>
      <c r="H10" s="1552"/>
      <c r="I10" s="1552" t="s">
        <v>1296</v>
      </c>
      <c r="J10" s="1552"/>
      <c r="K10" s="1552" t="s">
        <v>1580</v>
      </c>
      <c r="L10" s="1552"/>
      <c r="M10" s="1552" t="s">
        <v>1683</v>
      </c>
      <c r="N10" s="1552"/>
      <c r="O10" s="1552" t="s">
        <v>1582</v>
      </c>
      <c r="P10" s="1552"/>
      <c r="Q10" s="1552" t="s">
        <v>1583</v>
      </c>
    </row>
    <row r="11" spans="1:20" ht="15" customHeight="1">
      <c r="C11" s="1877" t="s">
        <v>1590</v>
      </c>
      <c r="D11" s="1734"/>
      <c r="E11" s="1891" t="s">
        <v>1664</v>
      </c>
      <c r="G11" s="1893" t="s">
        <v>381</v>
      </c>
      <c r="I11" s="1893" t="s">
        <v>1684</v>
      </c>
      <c r="K11" s="1635" t="s">
        <v>1685</v>
      </c>
      <c r="M11" s="1636" t="s">
        <v>1895</v>
      </c>
      <c r="O11" s="1895" t="s">
        <v>1686</v>
      </c>
      <c r="Q11" s="1636" t="s">
        <v>1994</v>
      </c>
    </row>
    <row r="12" spans="1:20" ht="25.5">
      <c r="C12" s="1878"/>
      <c r="D12" s="1734"/>
      <c r="E12" s="1892"/>
      <c r="F12" s="1637"/>
      <c r="G12" s="1894"/>
      <c r="H12" s="1637"/>
      <c r="I12" s="1894"/>
      <c r="J12" s="1637"/>
      <c r="K12" s="1638" t="s">
        <v>1687</v>
      </c>
      <c r="M12" s="1737" t="s">
        <v>1688</v>
      </c>
      <c r="O12" s="1896"/>
      <c r="Q12" s="1737" t="s">
        <v>1689</v>
      </c>
    </row>
    <row r="13" spans="1:20" ht="5.0999999999999996" customHeight="1"/>
    <row r="14" spans="1:20">
      <c r="A14" s="1639"/>
      <c r="B14" s="1639"/>
      <c r="C14" s="1554">
        <v>1</v>
      </c>
      <c r="D14" s="1639"/>
      <c r="E14" s="1640" t="s">
        <v>1690</v>
      </c>
      <c r="F14" s="1639"/>
      <c r="G14" s="1641"/>
      <c r="H14" s="1639"/>
      <c r="I14" s="1641"/>
      <c r="J14" s="1639"/>
      <c r="K14" s="1642"/>
      <c r="M14" s="1631"/>
      <c r="O14" s="1643"/>
      <c r="Q14" s="1639"/>
    </row>
    <row r="15" spans="1:20" ht="5.0999999999999996" customHeight="1"/>
    <row r="16" spans="1:20">
      <c r="C16" s="1554">
        <f>C14+1</f>
        <v>2</v>
      </c>
      <c r="E16" s="1626" t="s">
        <v>1667</v>
      </c>
      <c r="G16" s="1644" t="s">
        <v>941</v>
      </c>
      <c r="I16" s="1641" t="s">
        <v>1691</v>
      </c>
      <c r="K16" s="1629">
        <f>SUMIFS('1F - ADIT Remeasurement'!$AF$11:$AF$120,'1F - ADIT Remeasurement'!$E$11:$E$120,"Non-Property",'1F - ADIT Remeasurement'!$AH$11:$AH$120,"190")</f>
        <v>1291072.331317605</v>
      </c>
      <c r="L16" s="1628"/>
      <c r="M16" s="1629">
        <v>645536.16565880249</v>
      </c>
      <c r="N16" s="1628"/>
      <c r="O16" s="1629">
        <v>-322768.08282940125</v>
      </c>
      <c r="P16" s="1628"/>
      <c r="Q16" s="1629">
        <f>M16+O16</f>
        <v>322768.08282940125</v>
      </c>
      <c r="T16" s="1585"/>
    </row>
    <row r="17" spans="1:20">
      <c r="C17" s="1554">
        <f>C16+1</f>
        <v>3</v>
      </c>
      <c r="E17" s="1626" t="s">
        <v>1692</v>
      </c>
      <c r="G17" s="1644" t="s">
        <v>941</v>
      </c>
      <c r="I17" s="1641" t="s">
        <v>1691</v>
      </c>
      <c r="K17" s="1645">
        <f>SUMIFS('1F - ADIT Remeasurement'!$AF$11:$AF$120,'1F - ADIT Remeasurement'!$E$11:$E$120,"Non-Property",'1F - ADIT Remeasurement'!$AH$11:$AH$120,"281")</f>
        <v>0</v>
      </c>
      <c r="M17" s="1645">
        <v>0</v>
      </c>
      <c r="O17" s="1645">
        <v>0</v>
      </c>
      <c r="Q17" s="1630">
        <f>M17+O17</f>
        <v>0</v>
      </c>
    </row>
    <row r="18" spans="1:20">
      <c r="C18" s="1554">
        <f>C17+1</f>
        <v>4</v>
      </c>
      <c r="E18" s="1626" t="s">
        <v>1668</v>
      </c>
      <c r="G18" s="1644" t="s">
        <v>941</v>
      </c>
      <c r="I18" s="1641" t="s">
        <v>1691</v>
      </c>
      <c r="K18" s="1645">
        <f>SUMIFS('1F - ADIT Remeasurement'!$AF$11:$AF$120,'1F - ADIT Remeasurement'!$E$11:$E$120,"Non-Property",'1F - ADIT Remeasurement'!$AH$11:$AH$120,"282")</f>
        <v>0</v>
      </c>
      <c r="M18" s="1645">
        <v>0</v>
      </c>
      <c r="O18" s="1645">
        <v>0</v>
      </c>
      <c r="Q18" s="1630">
        <f>M18+O18</f>
        <v>0</v>
      </c>
    </row>
    <row r="19" spans="1:20">
      <c r="C19" s="1554">
        <f>C18+1</f>
        <v>5</v>
      </c>
      <c r="E19" s="1626" t="s">
        <v>1669</v>
      </c>
      <c r="G19" s="1644" t="s">
        <v>941</v>
      </c>
      <c r="I19" s="1641" t="s">
        <v>1691</v>
      </c>
      <c r="K19" s="1645">
        <f>SUMIFS('1F - ADIT Remeasurement'!$AF$11:$AF$120,'1F - ADIT Remeasurement'!$E$11:$E$120,"Non-Property",'1F - ADIT Remeasurement'!$AH$11:$AH$120,"283")</f>
        <v>-5706709.5142091112</v>
      </c>
      <c r="M19" s="1645">
        <v>-2853354.7571045561</v>
      </c>
      <c r="O19" s="1645">
        <v>1426677.3785522778</v>
      </c>
      <c r="Q19" s="1630">
        <f>M19+O19</f>
        <v>-1426677.3785522783</v>
      </c>
      <c r="T19" s="1585"/>
    </row>
    <row r="20" spans="1:20" ht="5.0999999999999996" customHeight="1">
      <c r="K20" s="1646"/>
      <c r="M20" s="1646"/>
      <c r="O20" s="1646"/>
      <c r="Q20" s="1646"/>
    </row>
    <row r="21" spans="1:20">
      <c r="C21" s="1554">
        <f>C19+1</f>
        <v>6</v>
      </c>
      <c r="E21" s="1551" t="s">
        <v>1693</v>
      </c>
      <c r="K21" s="1631">
        <f>SUM(K15:K20)</f>
        <v>-4415637.1828915067</v>
      </c>
      <c r="L21" s="1631"/>
      <c r="M21" s="1631">
        <f>SUM(M15:M20)</f>
        <v>-2207818.5914457534</v>
      </c>
      <c r="N21" s="1628"/>
      <c r="O21" s="1631">
        <f>SUM(O15:O20)</f>
        <v>1103909.2957228767</v>
      </c>
      <c r="P21" s="1631"/>
      <c r="Q21" s="1631">
        <f>SUM(Q15:Q20)</f>
        <v>-1103909.2957228771</v>
      </c>
    </row>
    <row r="22" spans="1:20">
      <c r="C22" s="1554"/>
    </row>
    <row r="23" spans="1:20">
      <c r="A23" s="1639"/>
      <c r="B23" s="1639"/>
      <c r="C23" s="1554">
        <f>C21+1</f>
        <v>7</v>
      </c>
      <c r="D23" s="1639"/>
      <c r="E23" s="1640" t="s">
        <v>1694</v>
      </c>
      <c r="F23" s="1639"/>
      <c r="G23" s="1641"/>
      <c r="H23" s="1639"/>
      <c r="I23" s="1641"/>
      <c r="J23" s="1639"/>
      <c r="K23" s="1642"/>
      <c r="M23" s="1631"/>
      <c r="O23" s="1643"/>
      <c r="Q23" s="1639"/>
    </row>
    <row r="24" spans="1:20" ht="5.0999999999999996" customHeight="1"/>
    <row r="25" spans="1:20">
      <c r="C25" s="1554">
        <f>C23+1</f>
        <v>8</v>
      </c>
      <c r="E25" s="1626" t="s">
        <v>1667</v>
      </c>
      <c r="G25" s="1644" t="s">
        <v>941</v>
      </c>
      <c r="I25" s="1641" t="s">
        <v>1695</v>
      </c>
      <c r="K25" s="1629">
        <f>SUMIFS('1F - ADIT Remeasurement'!$AF$11:$AF$120,'1F - ADIT Remeasurement'!$E$11:$E$120,"Unprotected Property",'1F - ADIT Remeasurement'!$AH$11:$AH$120,"190")</f>
        <v>0</v>
      </c>
      <c r="L25" s="1628"/>
      <c r="M25" s="1629">
        <v>0</v>
      </c>
      <c r="N25" s="1631"/>
      <c r="O25" s="1629">
        <f>-K25/5</f>
        <v>0</v>
      </c>
      <c r="P25" s="1631"/>
      <c r="Q25" s="1629">
        <f>M25+O25</f>
        <v>0</v>
      </c>
    </row>
    <row r="26" spans="1:20">
      <c r="C26" s="1554">
        <f>C25+1</f>
        <v>9</v>
      </c>
      <c r="E26" s="1626" t="s">
        <v>1692</v>
      </c>
      <c r="G26" s="1644" t="s">
        <v>941</v>
      </c>
      <c r="I26" s="1641" t="s">
        <v>1695</v>
      </c>
      <c r="K26" s="1645">
        <f>SUMIFS('1F - ADIT Remeasurement'!$AF$11:$AF$120,'1F - ADIT Remeasurement'!$E$11:$E$120,"Unprotected Property",'1F - ADIT Remeasurement'!$AH$11:$AH$120,"281")</f>
        <v>0</v>
      </c>
      <c r="M26" s="1645">
        <v>0</v>
      </c>
      <c r="O26" s="1645">
        <f>-K26/5</f>
        <v>0</v>
      </c>
      <c r="Q26" s="1630">
        <f>M26+O26</f>
        <v>0</v>
      </c>
    </row>
    <row r="27" spans="1:20">
      <c r="C27" s="1554">
        <f>C26+1</f>
        <v>10</v>
      </c>
      <c r="E27" s="1626" t="s">
        <v>1668</v>
      </c>
      <c r="G27" s="1644" t="s">
        <v>941</v>
      </c>
      <c r="I27" s="1641" t="s">
        <v>1695</v>
      </c>
      <c r="K27" s="1645">
        <f>SUMIFS('1F - ADIT Remeasurement'!$AF$11:$AF$120,'1F - ADIT Remeasurement'!$E$11:$E$120,"Unprotected Property",'1F - ADIT Remeasurement'!$AH$11:$AH$120,"282")</f>
        <v>-46126850.647198208</v>
      </c>
      <c r="M27" s="1645">
        <v>-27676110.388318922</v>
      </c>
      <c r="O27" s="1645">
        <v>9225370.1294396408</v>
      </c>
      <c r="Q27" s="1630">
        <f>M27+O27</f>
        <v>-18450740.258879282</v>
      </c>
      <c r="T27" s="1585"/>
    </row>
    <row r="28" spans="1:20">
      <c r="C28" s="1554">
        <f>C27+1</f>
        <v>11</v>
      </c>
      <c r="E28" s="1626" t="s">
        <v>1669</v>
      </c>
      <c r="G28" s="1644" t="s">
        <v>941</v>
      </c>
      <c r="I28" s="1641" t="s">
        <v>1695</v>
      </c>
      <c r="K28" s="1645">
        <f>SUMIFS('1F - ADIT Remeasurement'!$AF$11:$AF$120,'1F - ADIT Remeasurement'!$E$11:$E$120,"Unprotected Property",'1F - ADIT Remeasurement'!$AH$11:$AH$120,"283")</f>
        <v>0</v>
      </c>
      <c r="M28" s="1645">
        <v>0</v>
      </c>
      <c r="O28" s="1645">
        <f>-K28/5</f>
        <v>0</v>
      </c>
      <c r="Q28" s="1630">
        <f>M28+O28</f>
        <v>0</v>
      </c>
    </row>
    <row r="29" spans="1:20" ht="5.0999999999999996" customHeight="1">
      <c r="K29" s="1646"/>
      <c r="M29" s="1646"/>
      <c r="O29" s="1646"/>
      <c r="Q29" s="1646"/>
    </row>
    <row r="30" spans="1:20">
      <c r="C30" s="1554">
        <f>C28+1</f>
        <v>12</v>
      </c>
      <c r="E30" s="1551" t="s">
        <v>1693</v>
      </c>
      <c r="K30" s="1631">
        <f>SUM(K24:K29)</f>
        <v>-46126850.647198208</v>
      </c>
      <c r="L30" s="1628"/>
      <c r="M30" s="1631">
        <f>SUM(M24:M29)</f>
        <v>-27676110.388318922</v>
      </c>
      <c r="N30" s="1631"/>
      <c r="O30" s="1631">
        <f>SUM(O24:O29)</f>
        <v>9225370.1294396408</v>
      </c>
      <c r="P30" s="1631"/>
      <c r="Q30" s="1631">
        <f>SUM(Q24:Q29)</f>
        <v>-18450740.258879282</v>
      </c>
    </row>
    <row r="32" spans="1:20">
      <c r="A32" s="1639"/>
      <c r="B32" s="1639"/>
      <c r="C32" s="1554">
        <f>C30+1</f>
        <v>13</v>
      </c>
      <c r="D32" s="1639"/>
      <c r="E32" s="1640" t="s">
        <v>1696</v>
      </c>
      <c r="F32" s="1639"/>
      <c r="G32" s="1641"/>
      <c r="H32" s="1639"/>
      <c r="I32" s="1641"/>
      <c r="J32" s="1639"/>
      <c r="K32" s="1642"/>
      <c r="M32" s="1631"/>
      <c r="O32" s="1643"/>
      <c r="Q32" s="1639"/>
    </row>
    <row r="33" spans="3:20" ht="5.0999999999999996" customHeight="1"/>
    <row r="34" spans="3:20">
      <c r="C34" s="1554">
        <f>C32+1</f>
        <v>14</v>
      </c>
      <c r="E34" s="1626" t="s">
        <v>1667</v>
      </c>
      <c r="G34" s="1644" t="s">
        <v>941</v>
      </c>
      <c r="I34" s="1641" t="s">
        <v>1697</v>
      </c>
      <c r="K34" s="1629">
        <f>SUMIFS('1F - ADIT Remeasurement'!$AF$11:$AF$120,'1F - ADIT Remeasurement'!$E$11:$E$120,"Protected Property",'1F - ADIT Remeasurement'!$AH$11:$AH$120,"190")</f>
        <v>1000863.0827697578</v>
      </c>
      <c r="M34" s="1629">
        <v>1000863.0827697578</v>
      </c>
      <c r="N34" s="1631"/>
      <c r="O34" s="1629">
        <v>0</v>
      </c>
      <c r="P34" s="1631"/>
      <c r="Q34" s="1629">
        <f>M34+O34</f>
        <v>1000863.0827697578</v>
      </c>
    </row>
    <row r="35" spans="3:20">
      <c r="C35" s="1554">
        <f>C34+1</f>
        <v>15</v>
      </c>
      <c r="E35" s="1626" t="s">
        <v>1692</v>
      </c>
      <c r="G35" s="1644" t="s">
        <v>941</v>
      </c>
      <c r="I35" s="1641" t="s">
        <v>1697</v>
      </c>
      <c r="K35" s="1645">
        <f>SUMIFS('1F - ADIT Remeasurement'!$AF$11:$AF$120,'1F - ADIT Remeasurement'!$E$11:$E$120,"Protected Property",'1F - ADIT Remeasurement'!$AH$11:$AH$120,"281")</f>
        <v>0</v>
      </c>
      <c r="M35" s="1645">
        <v>0</v>
      </c>
      <c r="O35" s="1645">
        <v>0</v>
      </c>
      <c r="Q35" s="1630">
        <f>M35+O35</f>
        <v>0</v>
      </c>
    </row>
    <row r="36" spans="3:20">
      <c r="C36" s="1554">
        <f>C35+1</f>
        <v>16</v>
      </c>
      <c r="E36" s="1626" t="s">
        <v>1668</v>
      </c>
      <c r="G36" s="1644" t="s">
        <v>941</v>
      </c>
      <c r="I36" s="1641" t="s">
        <v>1697</v>
      </c>
      <c r="K36" s="1645">
        <f>SUMIFS('1F - ADIT Remeasurement'!$AF$11:$AF$120,'1F - ADIT Remeasurement'!$E$11:$E$120,"Protected Property",'1F - ADIT Remeasurement'!$AH$11:$AH$120,"282")</f>
        <v>-56057633.155828647</v>
      </c>
      <c r="M36" s="1645">
        <v>-53200211.155828647</v>
      </c>
      <c r="O36" s="1645">
        <v>1386708</v>
      </c>
      <c r="Q36" s="1630">
        <f>M36+O36</f>
        <v>-51813503.155828647</v>
      </c>
    </row>
    <row r="37" spans="3:20">
      <c r="C37" s="1554">
        <f>C36+1</f>
        <v>17</v>
      </c>
      <c r="E37" s="1626" t="s">
        <v>1669</v>
      </c>
      <c r="G37" s="1644" t="s">
        <v>941</v>
      </c>
      <c r="I37" s="1641" t="s">
        <v>1697</v>
      </c>
      <c r="K37" s="1645">
        <f>SUMIFS('1F - ADIT Remeasurement'!$AF$11:$AF$120,'1F - ADIT Remeasurement'!$E$11:$E$120,"Protected Property",'1F - ADIT Remeasurement'!$AH$11:$AH$120,"283")</f>
        <v>0</v>
      </c>
      <c r="M37" s="1645">
        <v>0</v>
      </c>
      <c r="O37" s="1645">
        <v>0</v>
      </c>
      <c r="Q37" s="1630">
        <f>M37+O37</f>
        <v>0</v>
      </c>
    </row>
    <row r="38" spans="3:20" ht="5.0999999999999996" customHeight="1">
      <c r="K38" s="1646"/>
      <c r="M38" s="1646"/>
      <c r="O38" s="1646"/>
      <c r="Q38" s="1646"/>
    </row>
    <row r="39" spans="3:20">
      <c r="C39" s="1554">
        <f>C37+1</f>
        <v>18</v>
      </c>
      <c r="E39" s="1551" t="s">
        <v>1693</v>
      </c>
      <c r="K39" s="1631">
        <f>SUM(K33:K38)</f>
        <v>-55056770.073058888</v>
      </c>
      <c r="L39" s="1628"/>
      <c r="M39" s="1631">
        <f>SUM(M33:M38)</f>
        <v>-52199348.073058888</v>
      </c>
      <c r="N39" s="1628"/>
      <c r="O39" s="1631">
        <f>SUM(O33:O38)</f>
        <v>1386708</v>
      </c>
      <c r="P39" s="1631"/>
      <c r="Q39" s="1631">
        <f>SUM(Q33:Q38)</f>
        <v>-50812640.073058888</v>
      </c>
      <c r="T39" s="1585"/>
    </row>
    <row r="41" spans="3:20" ht="13.5" thickBot="1">
      <c r="C41" s="1554">
        <f>C39+1</f>
        <v>19</v>
      </c>
      <c r="E41" s="1551" t="s">
        <v>1698</v>
      </c>
      <c r="K41" s="1647">
        <f>K21+K30+K39</f>
        <v>-105599257.90314861</v>
      </c>
      <c r="L41" s="1631"/>
      <c r="M41" s="1647">
        <f>M21+M30+M39</f>
        <v>-82083277.052823573</v>
      </c>
      <c r="N41" s="1631"/>
      <c r="O41" s="1647">
        <f>O21+O30+O39</f>
        <v>11715987.425162517</v>
      </c>
      <c r="P41" s="1631"/>
      <c r="Q41" s="1647">
        <f>Q21+Q30+Q39</f>
        <v>-70367289.627661049</v>
      </c>
      <c r="T41" s="1648"/>
    </row>
    <row r="44" spans="3:20" ht="15.75" customHeight="1">
      <c r="C44" s="1888" t="s">
        <v>1699</v>
      </c>
      <c r="D44" s="1889"/>
      <c r="E44" s="1889"/>
      <c r="F44" s="1889"/>
      <c r="G44" s="1889"/>
      <c r="H44" s="1889"/>
      <c r="I44" s="1889"/>
      <c r="J44" s="1889"/>
      <c r="K44" s="1889"/>
      <c r="L44" s="1889"/>
      <c r="M44" s="1889"/>
      <c r="N44" s="1889"/>
      <c r="O44" s="1889"/>
      <c r="P44" s="1889"/>
      <c r="Q44" s="1890"/>
    </row>
    <row r="46" spans="3:20">
      <c r="E46" s="1552" t="s">
        <v>216</v>
      </c>
      <c r="F46" s="1552"/>
      <c r="G46" s="1552" t="s">
        <v>217</v>
      </c>
      <c r="H46" s="1552"/>
      <c r="I46" s="1552" t="s">
        <v>1296</v>
      </c>
      <c r="J46" s="1552"/>
      <c r="K46" s="1552" t="s">
        <v>1580</v>
      </c>
      <c r="L46" s="1552"/>
      <c r="M46" s="1552" t="s">
        <v>1683</v>
      </c>
      <c r="N46" s="1552"/>
      <c r="O46" s="1552" t="s">
        <v>1582</v>
      </c>
      <c r="P46" s="1552"/>
      <c r="Q46" s="1552" t="s">
        <v>1583</v>
      </c>
    </row>
    <row r="47" spans="3:20" ht="15" customHeight="1">
      <c r="C47" s="1877" t="s">
        <v>1590</v>
      </c>
      <c r="D47" s="1734"/>
      <c r="E47" s="1891" t="s">
        <v>1664</v>
      </c>
      <c r="G47" s="1893" t="s">
        <v>381</v>
      </c>
      <c r="I47" s="1893" t="s">
        <v>1684</v>
      </c>
      <c r="K47" s="1649" t="s">
        <v>1700</v>
      </c>
      <c r="M47" s="1636" t="s">
        <v>1895</v>
      </c>
      <c r="O47" s="1895" t="s">
        <v>1686</v>
      </c>
      <c r="Q47" s="1636" t="s">
        <v>1994</v>
      </c>
    </row>
    <row r="48" spans="3:20" ht="25.5">
      <c r="C48" s="1878"/>
      <c r="D48" s="1734"/>
      <c r="E48" s="1892"/>
      <c r="F48" s="1637"/>
      <c r="G48" s="1894"/>
      <c r="H48" s="1637"/>
      <c r="I48" s="1894"/>
      <c r="J48" s="1637"/>
      <c r="K48" s="1638" t="s">
        <v>1687</v>
      </c>
      <c r="M48" s="1737" t="s">
        <v>1688</v>
      </c>
      <c r="O48" s="1896"/>
      <c r="Q48" s="1737" t="s">
        <v>1689</v>
      </c>
    </row>
    <row r="49" spans="1:20" ht="5.0999999999999996" customHeight="1"/>
    <row r="50" spans="1:20">
      <c r="A50" s="1639"/>
      <c r="B50" s="1639"/>
      <c r="C50" s="1554">
        <f>C41+1</f>
        <v>20</v>
      </c>
      <c r="D50" s="1639"/>
      <c r="E50" s="1640" t="s">
        <v>1696</v>
      </c>
      <c r="F50" s="1639"/>
      <c r="G50" s="1641"/>
      <c r="H50" s="1639"/>
      <c r="I50" s="1641"/>
      <c r="J50" s="1639"/>
      <c r="K50" s="1642"/>
      <c r="M50" s="1631"/>
      <c r="O50" s="1643"/>
      <c r="Q50" s="1639"/>
    </row>
    <row r="51" spans="1:20" ht="5.0999999999999996" customHeight="1"/>
    <row r="52" spans="1:20">
      <c r="C52" s="1554">
        <f>C50+1</f>
        <v>21</v>
      </c>
      <c r="E52" s="1626" t="s">
        <v>1667</v>
      </c>
      <c r="G52" s="1644" t="s">
        <v>424</v>
      </c>
      <c r="I52" s="1641" t="s">
        <v>1697</v>
      </c>
      <c r="K52" s="1629">
        <v>0</v>
      </c>
      <c r="L52" s="1628"/>
      <c r="M52" s="1629">
        <v>0</v>
      </c>
      <c r="N52" s="1628"/>
      <c r="O52" s="1629">
        <v>0</v>
      </c>
      <c r="P52" s="1628"/>
      <c r="Q52" s="1629">
        <f>M52+O52</f>
        <v>0</v>
      </c>
    </row>
    <row r="53" spans="1:20">
      <c r="C53" s="1554">
        <f>C52+1</f>
        <v>22</v>
      </c>
      <c r="E53" s="1626" t="s">
        <v>1692</v>
      </c>
      <c r="G53" s="1644" t="s">
        <v>424</v>
      </c>
      <c r="I53" s="1641" t="s">
        <v>1697</v>
      </c>
      <c r="K53" s="1645">
        <v>0</v>
      </c>
      <c r="M53" s="1645">
        <v>0</v>
      </c>
      <c r="O53" s="1645">
        <v>0</v>
      </c>
      <c r="Q53" s="1630">
        <f>M53+O53</f>
        <v>0</v>
      </c>
    </row>
    <row r="54" spans="1:20">
      <c r="C54" s="1554">
        <f>C53+1</f>
        <v>23</v>
      </c>
      <c r="E54" s="1626" t="s">
        <v>1668</v>
      </c>
      <c r="G54" s="1644" t="s">
        <v>424</v>
      </c>
      <c r="I54" s="1641" t="s">
        <v>1697</v>
      </c>
      <c r="K54" s="1645">
        <f>-958862</f>
        <v>-958862</v>
      </c>
      <c r="M54" s="1645">
        <v>-697507</v>
      </c>
      <c r="O54" s="1645">
        <v>214312</v>
      </c>
      <c r="Q54" s="1630">
        <f>M54+O54</f>
        <v>-483195</v>
      </c>
    </row>
    <row r="55" spans="1:20">
      <c r="C55" s="1554">
        <f>C54+1</f>
        <v>24</v>
      </c>
      <c r="E55" s="1626" t="s">
        <v>1669</v>
      </c>
      <c r="G55" s="1644" t="s">
        <v>424</v>
      </c>
      <c r="I55" s="1641" t="s">
        <v>1697</v>
      </c>
      <c r="K55" s="1645">
        <v>0</v>
      </c>
      <c r="M55" s="1645">
        <v>0</v>
      </c>
      <c r="O55" s="1645">
        <v>0</v>
      </c>
      <c r="Q55" s="1630">
        <f>M55+O55</f>
        <v>0</v>
      </c>
      <c r="R55" s="1199" t="s">
        <v>101</v>
      </c>
      <c r="S55" s="1199" t="s">
        <v>101</v>
      </c>
      <c r="T55" s="1199" t="s">
        <v>101</v>
      </c>
    </row>
    <row r="56" spans="1:20" ht="5.0999999999999996" customHeight="1">
      <c r="K56" s="1646"/>
      <c r="M56" s="1646"/>
      <c r="O56" s="1646"/>
      <c r="Q56" s="1646"/>
    </row>
    <row r="57" spans="1:20">
      <c r="C57" s="1554">
        <f>C55+1</f>
        <v>25</v>
      </c>
      <c r="E57" s="1551" t="s">
        <v>1693</v>
      </c>
      <c r="K57" s="1631">
        <f>SUM(K51:K56)</f>
        <v>-958862</v>
      </c>
      <c r="L57" s="1631"/>
      <c r="M57" s="1631">
        <f>SUM(M51:M56)</f>
        <v>-697507</v>
      </c>
      <c r="N57" s="1631"/>
      <c r="O57" s="1631">
        <f>SUM(O51:O56)</f>
        <v>214312</v>
      </c>
      <c r="P57" s="1631"/>
      <c r="Q57" s="1631">
        <f>SUM(Q51:Q56)</f>
        <v>-483195</v>
      </c>
    </row>
    <row r="59" spans="1:20" ht="13.5" thickBot="1">
      <c r="C59" s="1554">
        <f>C57+1</f>
        <v>26</v>
      </c>
      <c r="E59" s="1551" t="s">
        <v>1698</v>
      </c>
      <c r="K59" s="1647">
        <f>K57</f>
        <v>-958862</v>
      </c>
      <c r="L59" s="1631"/>
      <c r="M59" s="1647">
        <f>M57</f>
        <v>-697507</v>
      </c>
      <c r="N59" s="1631"/>
      <c r="O59" s="1647">
        <f>O57</f>
        <v>214312</v>
      </c>
      <c r="P59" s="1631"/>
      <c r="Q59" s="1647">
        <f>Q57</f>
        <v>-483195</v>
      </c>
    </row>
    <row r="62" spans="1:20" ht="15.75" customHeight="1">
      <c r="C62" s="1888" t="s">
        <v>1701</v>
      </c>
      <c r="D62" s="1889"/>
      <c r="E62" s="1889"/>
      <c r="F62" s="1889"/>
      <c r="G62" s="1889"/>
      <c r="H62" s="1889"/>
      <c r="I62" s="1889"/>
      <c r="J62" s="1889"/>
      <c r="K62" s="1889"/>
      <c r="L62" s="1889"/>
      <c r="M62" s="1889"/>
      <c r="N62" s="1889"/>
      <c r="O62" s="1889"/>
      <c r="P62" s="1889"/>
      <c r="Q62" s="1890"/>
    </row>
    <row r="64" spans="1:20">
      <c r="E64" s="1552" t="s">
        <v>216</v>
      </c>
      <c r="F64" s="1552"/>
      <c r="G64" s="1552" t="s">
        <v>217</v>
      </c>
      <c r="H64" s="1552"/>
      <c r="I64" s="1552" t="s">
        <v>1296</v>
      </c>
      <c r="J64" s="1552"/>
      <c r="K64" s="1552" t="s">
        <v>1580</v>
      </c>
      <c r="L64" s="1552"/>
      <c r="M64" s="1552" t="s">
        <v>1683</v>
      </c>
      <c r="N64" s="1552"/>
      <c r="O64" s="1552" t="s">
        <v>1582</v>
      </c>
      <c r="P64" s="1552"/>
      <c r="Q64" s="1552" t="s">
        <v>1583</v>
      </c>
    </row>
    <row r="65" spans="1:20" ht="15" customHeight="1">
      <c r="C65" s="1877" t="s">
        <v>1590</v>
      </c>
      <c r="D65" s="1734"/>
      <c r="E65" s="1891" t="s">
        <v>1664</v>
      </c>
      <c r="G65" s="1893" t="s">
        <v>381</v>
      </c>
      <c r="I65" s="1893" t="s">
        <v>1684</v>
      </c>
      <c r="K65" s="1635"/>
      <c r="M65" s="1636" t="s">
        <v>1895</v>
      </c>
      <c r="O65" s="1895" t="s">
        <v>1686</v>
      </c>
      <c r="Q65" s="1636" t="s">
        <v>1994</v>
      </c>
    </row>
    <row r="66" spans="1:20" ht="25.5">
      <c r="C66" s="1878"/>
      <c r="D66" s="1734"/>
      <c r="E66" s="1892"/>
      <c r="F66" s="1637"/>
      <c r="G66" s="1894"/>
      <c r="H66" s="1637"/>
      <c r="I66" s="1894"/>
      <c r="J66" s="1637"/>
      <c r="K66" s="1638" t="s">
        <v>1687</v>
      </c>
      <c r="M66" s="1737" t="s">
        <v>1688</v>
      </c>
      <c r="O66" s="1896"/>
      <c r="Q66" s="1737" t="s">
        <v>1689</v>
      </c>
    </row>
    <row r="67" spans="1:20" ht="5.0999999999999996" customHeight="1"/>
    <row r="68" spans="1:20">
      <c r="A68" s="1639"/>
      <c r="B68" s="1639"/>
      <c r="C68" s="1554">
        <f>C59+1</f>
        <v>27</v>
      </c>
      <c r="D68" s="1639"/>
      <c r="E68" s="1640" t="s">
        <v>1690</v>
      </c>
      <c r="F68" s="1639"/>
      <c r="G68" s="1641"/>
      <c r="H68" s="1639"/>
      <c r="I68" s="1641"/>
      <c r="J68" s="1639"/>
      <c r="K68" s="1642"/>
      <c r="M68" s="1631"/>
      <c r="O68" s="1643"/>
      <c r="Q68" s="1639"/>
    </row>
    <row r="69" spans="1:20" ht="5.0999999999999996" customHeight="1"/>
    <row r="70" spans="1:20">
      <c r="C70" s="1554">
        <f>C68+1</f>
        <v>28</v>
      </c>
      <c r="E70" s="1626" t="s">
        <v>1667</v>
      </c>
      <c r="G70" s="1644"/>
      <c r="I70" s="1641"/>
      <c r="K70" s="1629">
        <f>K16</f>
        <v>1291072.331317605</v>
      </c>
      <c r="L70" s="1628"/>
      <c r="M70" s="1629">
        <v>645536.16565880249</v>
      </c>
      <c r="N70" s="1628"/>
      <c r="O70" s="1629">
        <v>-322768.08282940125</v>
      </c>
      <c r="P70" s="1628"/>
      <c r="Q70" s="1629">
        <f>M70+O70</f>
        <v>322768.08282940125</v>
      </c>
      <c r="T70" s="1585"/>
    </row>
    <row r="71" spans="1:20">
      <c r="C71" s="1554">
        <f>C70+1</f>
        <v>29</v>
      </c>
      <c r="E71" s="1626" t="s">
        <v>1692</v>
      </c>
      <c r="G71" s="1644"/>
      <c r="I71" s="1641"/>
      <c r="K71" s="1645">
        <f>K17</f>
        <v>0</v>
      </c>
      <c r="M71" s="1645">
        <v>0</v>
      </c>
      <c r="O71" s="1645">
        <v>0</v>
      </c>
      <c r="Q71" s="1630">
        <f>M71+O71</f>
        <v>0</v>
      </c>
    </row>
    <row r="72" spans="1:20">
      <c r="C72" s="1554">
        <f>C71+1</f>
        <v>30</v>
      </c>
      <c r="E72" s="1626" t="s">
        <v>1668</v>
      </c>
      <c r="G72" s="1644"/>
      <c r="I72" s="1641"/>
      <c r="K72" s="1645">
        <f>K18</f>
        <v>0</v>
      </c>
      <c r="M72" s="1645">
        <v>0</v>
      </c>
      <c r="O72" s="1645">
        <v>0</v>
      </c>
      <c r="Q72" s="1630">
        <f>M72+O72</f>
        <v>0</v>
      </c>
    </row>
    <row r="73" spans="1:20">
      <c r="C73" s="1554">
        <f>C72+1</f>
        <v>31</v>
      </c>
      <c r="E73" s="1626" t="s">
        <v>1669</v>
      </c>
      <c r="G73" s="1644"/>
      <c r="I73" s="1641"/>
      <c r="K73" s="1645">
        <f>K19</f>
        <v>-5706709.5142091112</v>
      </c>
      <c r="M73" s="1645">
        <v>-2853354.7571045561</v>
      </c>
      <c r="O73" s="1645">
        <v>1426677.3785522778</v>
      </c>
      <c r="Q73" s="1630">
        <f>M73+O73</f>
        <v>-1426677.3785522783</v>
      </c>
      <c r="T73" s="1585"/>
    </row>
    <row r="74" spans="1:20" ht="5.0999999999999996" customHeight="1">
      <c r="K74" s="1646"/>
      <c r="M74" s="1646"/>
      <c r="O74" s="1646"/>
      <c r="Q74" s="1646"/>
    </row>
    <row r="75" spans="1:20">
      <c r="C75" s="1554">
        <f>C73+1</f>
        <v>32</v>
      </c>
      <c r="E75" s="1551" t="s">
        <v>1693</v>
      </c>
      <c r="K75" s="1631">
        <f>SUM(K69:K74)</f>
        <v>-4415637.1828915067</v>
      </c>
      <c r="L75" s="1631"/>
      <c r="M75" s="1631">
        <f>SUM(M69:M74)</f>
        <v>-2207818.5914457534</v>
      </c>
      <c r="N75" s="1628"/>
      <c r="O75" s="1631">
        <f>SUM(O69:O74)</f>
        <v>1103909.2957228767</v>
      </c>
      <c r="P75" s="1631"/>
      <c r="Q75" s="1631">
        <f>SUM(Q69:Q74)</f>
        <v>-1103909.2957228771</v>
      </c>
    </row>
    <row r="76" spans="1:20">
      <c r="C76" s="1554"/>
    </row>
    <row r="77" spans="1:20">
      <c r="A77" s="1639"/>
      <c r="B77" s="1639"/>
      <c r="C77" s="1554">
        <f>C75+1</f>
        <v>33</v>
      </c>
      <c r="D77" s="1639"/>
      <c r="E77" s="1640" t="s">
        <v>1694</v>
      </c>
      <c r="F77" s="1639"/>
      <c r="G77" s="1641"/>
      <c r="H77" s="1639"/>
      <c r="I77" s="1641"/>
      <c r="J77" s="1639"/>
      <c r="K77" s="1642"/>
      <c r="M77" s="1631"/>
      <c r="O77" s="1643"/>
      <c r="Q77" s="1639"/>
    </row>
    <row r="78" spans="1:20" ht="5.0999999999999996" customHeight="1"/>
    <row r="79" spans="1:20">
      <c r="C79" s="1554">
        <f>C77+1</f>
        <v>34</v>
      </c>
      <c r="E79" s="1626" t="s">
        <v>1667</v>
      </c>
      <c r="G79" s="1644"/>
      <c r="I79" s="1641"/>
      <c r="K79" s="1629">
        <f>K25</f>
        <v>0</v>
      </c>
      <c r="L79" s="1628"/>
      <c r="M79" s="1629">
        <f>M25</f>
        <v>0</v>
      </c>
      <c r="N79" s="1631"/>
      <c r="O79" s="1629">
        <f>O25</f>
        <v>0</v>
      </c>
      <c r="P79" s="1631"/>
      <c r="Q79" s="1629">
        <f>M79+O79</f>
        <v>0</v>
      </c>
    </row>
    <row r="80" spans="1:20">
      <c r="C80" s="1554">
        <f>C79+1</f>
        <v>35</v>
      </c>
      <c r="E80" s="1626" t="s">
        <v>1692</v>
      </c>
      <c r="G80" s="1644"/>
      <c r="I80" s="1641"/>
      <c r="K80" s="1645">
        <f>K26</f>
        <v>0</v>
      </c>
      <c r="M80" s="1645">
        <f>M26</f>
        <v>0</v>
      </c>
      <c r="O80" s="1645">
        <f>O26</f>
        <v>0</v>
      </c>
      <c r="Q80" s="1630">
        <f>M80+O80</f>
        <v>0</v>
      </c>
    </row>
    <row r="81" spans="1:20">
      <c r="C81" s="1554">
        <f>C80+1</f>
        <v>36</v>
      </c>
      <c r="E81" s="1626" t="s">
        <v>1668</v>
      </c>
      <c r="G81" s="1644"/>
      <c r="I81" s="1641"/>
      <c r="K81" s="1645">
        <f>K27</f>
        <v>-46126850.647198208</v>
      </c>
      <c r="M81" s="1645">
        <v>-27676110.388318922</v>
      </c>
      <c r="O81" s="1645">
        <v>9225370.1294396408</v>
      </c>
      <c r="Q81" s="1630">
        <v>-18450740.258879282</v>
      </c>
      <c r="T81" s="1585"/>
    </row>
    <row r="82" spans="1:20">
      <c r="C82" s="1554">
        <f>C81+1</f>
        <v>37</v>
      </c>
      <c r="E82" s="1626" t="s">
        <v>1669</v>
      </c>
      <c r="G82" s="1644"/>
      <c r="I82" s="1641"/>
      <c r="K82" s="1645">
        <f>K28</f>
        <v>0</v>
      </c>
      <c r="M82" s="1645">
        <f>M28</f>
        <v>0</v>
      </c>
      <c r="O82" s="1645">
        <f>O28</f>
        <v>0</v>
      </c>
      <c r="Q82" s="1630">
        <f>M82+O82</f>
        <v>0</v>
      </c>
    </row>
    <row r="83" spans="1:20" ht="5.0999999999999996" customHeight="1">
      <c r="K83" s="1646"/>
      <c r="M83" s="1646"/>
      <c r="O83" s="1646"/>
      <c r="Q83" s="1646"/>
    </row>
    <row r="84" spans="1:20">
      <c r="C84" s="1554">
        <f>C82+1</f>
        <v>38</v>
      </c>
      <c r="E84" s="1551" t="s">
        <v>1693</v>
      </c>
      <c r="K84" s="1631">
        <f>SUM(K78:K83)</f>
        <v>-46126850.647198208</v>
      </c>
      <c r="L84" s="1628"/>
      <c r="M84" s="1631">
        <f>SUM(M78:M83)</f>
        <v>-27676110.388318922</v>
      </c>
      <c r="N84" s="1631"/>
      <c r="O84" s="1631">
        <f>SUM(O78:O83)</f>
        <v>9225370.1294396408</v>
      </c>
      <c r="P84" s="1631"/>
      <c r="Q84" s="1631">
        <f>SUM(Q78:Q83)</f>
        <v>-18450740.258879282</v>
      </c>
    </row>
    <row r="86" spans="1:20">
      <c r="A86" s="1639"/>
      <c r="B86" s="1639"/>
      <c r="C86" s="1554">
        <f>C84+1</f>
        <v>39</v>
      </c>
      <c r="D86" s="1639"/>
      <c r="E86" s="1640" t="s">
        <v>1696</v>
      </c>
      <c r="F86" s="1639"/>
      <c r="G86" s="1641"/>
      <c r="H86" s="1639"/>
      <c r="I86" s="1641"/>
      <c r="J86" s="1639"/>
      <c r="K86" s="1642"/>
      <c r="M86" s="1631"/>
      <c r="O86" s="1643"/>
      <c r="Q86" s="1639"/>
    </row>
    <row r="87" spans="1:20" ht="5.0999999999999996" customHeight="1"/>
    <row r="88" spans="1:20">
      <c r="C88" s="1554">
        <f>C86+1</f>
        <v>40</v>
      </c>
      <c r="E88" s="1626" t="s">
        <v>1667</v>
      </c>
      <c r="G88" s="1644"/>
      <c r="I88" s="1641"/>
      <c r="K88" s="1629">
        <f>K34+K52</f>
        <v>1000863.0827697578</v>
      </c>
      <c r="M88" s="1629">
        <v>1000863.0827697578</v>
      </c>
      <c r="O88" s="1629">
        <v>0</v>
      </c>
      <c r="Q88" s="1629">
        <v>1000863.0827697578</v>
      </c>
    </row>
    <row r="89" spans="1:20">
      <c r="C89" s="1554">
        <f>C88+1</f>
        <v>41</v>
      </c>
      <c r="E89" s="1626" t="s">
        <v>1692</v>
      </c>
      <c r="G89" s="1644"/>
      <c r="I89" s="1641"/>
      <c r="K89" s="1645">
        <f>K35+K53</f>
        <v>0</v>
      </c>
      <c r="M89" s="1645">
        <v>0</v>
      </c>
      <c r="O89" s="1645">
        <v>0</v>
      </c>
      <c r="Q89" s="1645">
        <v>0</v>
      </c>
    </row>
    <row r="90" spans="1:20">
      <c r="C90" s="1554">
        <f>C89+1</f>
        <v>42</v>
      </c>
      <c r="E90" s="1626" t="s">
        <v>1668</v>
      </c>
      <c r="G90" s="1644"/>
      <c r="I90" s="1641"/>
      <c r="K90" s="1645">
        <f>K36+K54</f>
        <v>-57016495.155828647</v>
      </c>
      <c r="M90" s="1645">
        <v>-53897718.155828647</v>
      </c>
      <c r="O90" s="1645">
        <v>1595792</v>
      </c>
      <c r="Q90" s="1645">
        <v>-52301926.155828647</v>
      </c>
    </row>
    <row r="91" spans="1:20">
      <c r="C91" s="1554">
        <f>C90+1</f>
        <v>43</v>
      </c>
      <c r="E91" s="1626" t="s">
        <v>1669</v>
      </c>
      <c r="G91" s="1644"/>
      <c r="I91" s="1641"/>
      <c r="K91" s="1645">
        <f>K37+K55</f>
        <v>0</v>
      </c>
      <c r="M91" s="1645">
        <f>M37+M55</f>
        <v>0</v>
      </c>
      <c r="O91" s="1645">
        <f>O37+O55</f>
        <v>0</v>
      </c>
      <c r="Q91" s="1645">
        <f>Q37+Q55</f>
        <v>0</v>
      </c>
    </row>
    <row r="92" spans="1:20" ht="5.0999999999999996" customHeight="1">
      <c r="K92" s="1646"/>
      <c r="M92" s="1646"/>
      <c r="O92" s="1646"/>
      <c r="Q92" s="1646"/>
    </row>
    <row r="93" spans="1:20">
      <c r="C93" s="1554">
        <f>C91+1</f>
        <v>44</v>
      </c>
      <c r="E93" s="1551" t="s">
        <v>1693</v>
      </c>
      <c r="K93" s="1631">
        <f>SUM(K87:K92)</f>
        <v>-56015632.073058888</v>
      </c>
      <c r="L93" s="1628"/>
      <c r="M93" s="1631">
        <f>SUM(M87:M92)</f>
        <v>-52896855.073058888</v>
      </c>
      <c r="N93" s="1628"/>
      <c r="O93" s="1631">
        <f>SUM(O87:O92)</f>
        <v>1595792</v>
      </c>
      <c r="P93" s="1631"/>
      <c r="Q93" s="1631">
        <f>SUM(Q87:Q92)</f>
        <v>-51301063.073058888</v>
      </c>
      <c r="T93" s="1585"/>
    </row>
    <row r="95" spans="1:20" ht="13.5" thickBot="1">
      <c r="C95" s="1554">
        <f>C93+1</f>
        <v>45</v>
      </c>
      <c r="E95" s="1551" t="s">
        <v>1698</v>
      </c>
      <c r="K95" s="1647">
        <f>K75+K84+K93</f>
        <v>-106558119.90314861</v>
      </c>
      <c r="L95" s="1631"/>
      <c r="M95" s="1647">
        <f>M75+M84+M93</f>
        <v>-82780784.052823573</v>
      </c>
      <c r="N95" s="1631"/>
      <c r="O95" s="1647">
        <f>O75+O84+O93</f>
        <v>11925071.425162517</v>
      </c>
      <c r="P95" s="1631"/>
      <c r="Q95" s="1647">
        <f>Q75+Q84+Q93</f>
        <v>-70855712.627661049</v>
      </c>
      <c r="T95" s="1648"/>
    </row>
    <row r="96" spans="1:20">
      <c r="C96" s="1554"/>
      <c r="E96" s="1551"/>
      <c r="K96" s="1650"/>
      <c r="L96" s="1631"/>
      <c r="M96" s="1650"/>
      <c r="N96" s="1631"/>
      <c r="O96" s="1650"/>
      <c r="P96" s="1631"/>
      <c r="Q96" s="1650"/>
      <c r="T96" s="1648"/>
    </row>
    <row r="97" spans="3:19" ht="15.75" customHeight="1">
      <c r="C97" s="1888" t="s">
        <v>1701</v>
      </c>
      <c r="D97" s="1889"/>
      <c r="E97" s="1889"/>
      <c r="F97" s="1889"/>
      <c r="G97" s="1889"/>
      <c r="H97" s="1889"/>
      <c r="I97" s="1889"/>
      <c r="J97" s="1889"/>
      <c r="K97" s="1889"/>
      <c r="L97" s="1889"/>
      <c r="M97" s="1889"/>
      <c r="N97" s="1889"/>
      <c r="O97" s="1889"/>
      <c r="P97" s="1889"/>
      <c r="Q97" s="1890"/>
    </row>
    <row r="99" spans="3:19">
      <c r="E99" s="1552" t="s">
        <v>216</v>
      </c>
      <c r="F99" s="1552"/>
      <c r="G99" s="1552" t="s">
        <v>217</v>
      </c>
      <c r="H99" s="1552"/>
      <c r="I99" s="1552" t="s">
        <v>1296</v>
      </c>
      <c r="J99" s="1552"/>
      <c r="K99" s="1552" t="s">
        <v>1580</v>
      </c>
      <c r="L99" s="1552"/>
      <c r="M99" s="1552" t="s">
        <v>1683</v>
      </c>
      <c r="N99" s="1552"/>
      <c r="O99" s="1552" t="s">
        <v>1582</v>
      </c>
      <c r="P99" s="1552"/>
      <c r="Q99" s="1552" t="s">
        <v>1583</v>
      </c>
    </row>
    <row r="100" spans="3:19" ht="15" customHeight="1">
      <c r="C100" s="1877" t="s">
        <v>1590</v>
      </c>
      <c r="D100" s="1734"/>
      <c r="E100" s="1891" t="s">
        <v>1664</v>
      </c>
      <c r="G100" s="1893" t="s">
        <v>381</v>
      </c>
      <c r="I100" s="1893" t="s">
        <v>1684</v>
      </c>
      <c r="M100" s="1636" t="s">
        <v>1895</v>
      </c>
      <c r="O100" s="1895" t="s">
        <v>1686</v>
      </c>
      <c r="Q100" s="1636" t="s">
        <v>1994</v>
      </c>
    </row>
    <row r="101" spans="3:19" ht="25.5">
      <c r="C101" s="1878"/>
      <c r="D101" s="1734"/>
      <c r="E101" s="1892"/>
      <c r="F101" s="1637"/>
      <c r="G101" s="1894"/>
      <c r="H101" s="1637"/>
      <c r="I101" s="1894"/>
      <c r="J101" s="1637"/>
      <c r="K101" s="1638" t="s">
        <v>1687</v>
      </c>
      <c r="M101" s="1737" t="s">
        <v>1688</v>
      </c>
      <c r="O101" s="1896"/>
      <c r="Q101" s="1737" t="s">
        <v>1689</v>
      </c>
    </row>
    <row r="102" spans="3:19" ht="5.0999999999999996" customHeight="1"/>
    <row r="103" spans="3:19">
      <c r="C103" s="1554">
        <f>C95+1</f>
        <v>46</v>
      </c>
      <c r="E103" s="1626" t="s">
        <v>1667</v>
      </c>
      <c r="K103" s="1629">
        <f>K70+K79+K88</f>
        <v>2291935.4140873626</v>
      </c>
      <c r="L103" s="1628"/>
      <c r="M103" s="1629">
        <f>M16+M25+M34+M52</f>
        <v>1646399.2484285603</v>
      </c>
      <c r="N103" s="1628"/>
      <c r="O103" s="1629">
        <f>O16+O25+O34+O52</f>
        <v>-322768.08282940125</v>
      </c>
      <c r="P103" s="1628"/>
      <c r="Q103" s="1629">
        <f>M103+O103</f>
        <v>1323631.165599159</v>
      </c>
    </row>
    <row r="104" spans="3:19">
      <c r="C104" s="1554">
        <f>C103+1</f>
        <v>47</v>
      </c>
      <c r="E104" s="1626" t="s">
        <v>1692</v>
      </c>
      <c r="K104" s="1645">
        <f>K71+K80+K89</f>
        <v>0</v>
      </c>
      <c r="M104" s="1630">
        <f>M17+M26+M35+M53</f>
        <v>0</v>
      </c>
      <c r="O104" s="1630">
        <f>O17+O26+O35+O53</f>
        <v>0</v>
      </c>
      <c r="Q104" s="1630">
        <f>M104+O104</f>
        <v>0</v>
      </c>
    </row>
    <row r="105" spans="3:19">
      <c r="C105" s="1554">
        <f>C104+1</f>
        <v>48</v>
      </c>
      <c r="E105" s="1626" t="s">
        <v>1668</v>
      </c>
      <c r="K105" s="1645">
        <f>K72+K81+K90</f>
        <v>-103143345.80302685</v>
      </c>
      <c r="M105" s="1630">
        <f>M18+M27+M36+M54</f>
        <v>-81573828.544147566</v>
      </c>
      <c r="O105" s="1630">
        <f>O18+O27+O36+O54</f>
        <v>10826390.129439641</v>
      </c>
      <c r="Q105" s="1630">
        <f>M105+O105</f>
        <v>-70747438.414707929</v>
      </c>
    </row>
    <row r="106" spans="3:19">
      <c r="C106" s="1554">
        <f>C105+1</f>
        <v>49</v>
      </c>
      <c r="E106" s="1626" t="s">
        <v>1669</v>
      </c>
      <c r="K106" s="1645">
        <f>K73+K82+K91</f>
        <v>-5706709.5142091112</v>
      </c>
      <c r="M106" s="1630">
        <f>M19+M28+M37+M55</f>
        <v>-2853354.7571045561</v>
      </c>
      <c r="O106" s="1630">
        <f>O19+O28+O37+O55</f>
        <v>1426677.3785522778</v>
      </c>
      <c r="Q106" s="1630">
        <f>M106+O106</f>
        <v>-1426677.3785522783</v>
      </c>
    </row>
    <row r="107" spans="3:19" ht="5.0999999999999996" customHeight="1">
      <c r="Q107" s="1646"/>
    </row>
    <row r="108" spans="3:19">
      <c r="C108" s="1554">
        <f>C106+1</f>
        <v>50</v>
      </c>
      <c r="E108" s="1551" t="s">
        <v>1698</v>
      </c>
      <c r="K108" s="1651">
        <f>SUM(K103:K107)</f>
        <v>-106558119.90314861</v>
      </c>
      <c r="L108" s="1631"/>
      <c r="M108" s="1651">
        <f>SUM(M103:M107)</f>
        <v>-82780784.052823573</v>
      </c>
      <c r="N108" s="1631"/>
      <c r="O108" s="1651">
        <f>SUM(O103:O107)</f>
        <v>11930299.425162518</v>
      </c>
      <c r="P108" s="1631"/>
      <c r="Q108" s="1651">
        <f>SUM(Q103:Q107)</f>
        <v>-70850484.627661049</v>
      </c>
    </row>
    <row r="109" spans="3:19" ht="5.0999999999999996" customHeight="1"/>
    <row r="110" spans="3:19">
      <c r="C110" s="1554">
        <f>C108+1</f>
        <v>51</v>
      </c>
      <c r="E110" s="1626" t="s">
        <v>1512</v>
      </c>
      <c r="G110" s="1199" t="s">
        <v>1702</v>
      </c>
      <c r="K110" s="1652">
        <f>'ATT H-9A'!$H$254</f>
        <v>1.380395621385089</v>
      </c>
      <c r="M110" s="1652">
        <f>'ATT H-9A'!$H$254</f>
        <v>1.380395621385089</v>
      </c>
      <c r="O110" s="1652">
        <f>'ATT H-9A'!$H$254</f>
        <v>1.380395621385089</v>
      </c>
      <c r="Q110" s="1652">
        <f>'ATT H-9A'!$H$254</f>
        <v>1.380395621385089</v>
      </c>
    </row>
    <row r="111" spans="3:19" ht="5.0999999999999996" customHeight="1"/>
    <row r="112" spans="3:19" ht="13.5" thickBot="1">
      <c r="C112" s="1554">
        <f>C110+1</f>
        <v>52</v>
      </c>
      <c r="E112" s="1551" t="s">
        <v>1703</v>
      </c>
      <c r="K112" s="1653">
        <f>K108*K110</f>
        <v>-147092362.13733363</v>
      </c>
      <c r="L112" s="1631"/>
      <c r="M112" s="1653">
        <f>M108*M110</f>
        <v>-114270231.84134226</v>
      </c>
      <c r="N112" s="1631"/>
      <c r="O112" s="1653">
        <f>O108*O110</f>
        <v>16468533.088307384</v>
      </c>
      <c r="P112" s="1631"/>
      <c r="Q112" s="1653">
        <f>Q108*Q110</f>
        <v>-97801698.753034875</v>
      </c>
      <c r="S112" s="199"/>
    </row>
    <row r="113" spans="3:17" ht="13.5" thickTop="1"/>
    <row r="115" spans="3:17" ht="15.75" customHeight="1">
      <c r="C115" s="1888" t="s">
        <v>1704</v>
      </c>
      <c r="D115" s="1889"/>
      <c r="E115" s="1889"/>
      <c r="F115" s="1889"/>
      <c r="G115" s="1889"/>
      <c r="H115" s="1889"/>
      <c r="I115" s="1889"/>
      <c r="J115" s="1889"/>
      <c r="K115" s="1889"/>
      <c r="L115" s="1889"/>
      <c r="M115" s="1889"/>
      <c r="N115" s="1889"/>
      <c r="O115" s="1889"/>
      <c r="P115" s="1889"/>
      <c r="Q115" s="1890"/>
    </row>
    <row r="117" spans="3:17">
      <c r="E117" s="1552" t="s">
        <v>216</v>
      </c>
      <c r="F117" s="1552"/>
      <c r="G117" s="1552" t="s">
        <v>217</v>
      </c>
      <c r="H117" s="1552"/>
      <c r="I117" s="1552" t="s">
        <v>1296</v>
      </c>
      <c r="J117" s="1552"/>
      <c r="K117" s="1552" t="s">
        <v>1580</v>
      </c>
      <c r="L117" s="1552"/>
      <c r="M117" s="1552" t="s">
        <v>1683</v>
      </c>
      <c r="N117" s="1552"/>
      <c r="O117" s="1552" t="s">
        <v>1582</v>
      </c>
      <c r="P117" s="1552"/>
      <c r="Q117" s="1552" t="s">
        <v>1583</v>
      </c>
    </row>
    <row r="118" spans="3:17">
      <c r="C118" s="1883" t="s">
        <v>1590</v>
      </c>
      <c r="E118" s="1884" t="s">
        <v>1705</v>
      </c>
      <c r="G118" s="1886" t="s">
        <v>381</v>
      </c>
      <c r="H118" s="1886"/>
      <c r="I118" s="1886"/>
      <c r="K118" s="1635"/>
      <c r="M118" s="1636" t="s">
        <v>1895</v>
      </c>
      <c r="Q118" s="1636" t="s">
        <v>1994</v>
      </c>
    </row>
    <row r="119" spans="3:17" ht="25.5">
      <c r="C119" s="1862"/>
      <c r="E119" s="1885"/>
      <c r="G119" s="1887"/>
      <c r="H119" s="1887"/>
      <c r="I119" s="1887"/>
      <c r="J119" s="1637"/>
      <c r="K119" s="1638" t="s">
        <v>1687</v>
      </c>
      <c r="M119" s="1737" t="s">
        <v>1688</v>
      </c>
      <c r="O119" s="1737" t="s">
        <v>1686</v>
      </c>
      <c r="Q119" s="1737" t="s">
        <v>1689</v>
      </c>
    </row>
    <row r="120" spans="3:17" ht="5.0999999999999996" customHeight="1"/>
    <row r="121" spans="3:17">
      <c r="C121" s="1554">
        <f>C112+1</f>
        <v>53</v>
      </c>
      <c r="E121" s="1626" t="s">
        <v>1706</v>
      </c>
      <c r="K121" s="1629">
        <v>0</v>
      </c>
      <c r="L121" s="1628"/>
      <c r="M121" s="1629">
        <v>0</v>
      </c>
      <c r="N121" s="1628"/>
      <c r="O121" s="1629">
        <v>0</v>
      </c>
      <c r="P121" s="1628"/>
      <c r="Q121" s="1629">
        <v>0</v>
      </c>
    </row>
    <row r="122" spans="3:17">
      <c r="C122" s="1554">
        <f>C121+1</f>
        <v>54</v>
      </c>
      <c r="E122" s="1626" t="s">
        <v>1707</v>
      </c>
      <c r="K122" s="1630">
        <f>K112</f>
        <v>-147092362.13733363</v>
      </c>
      <c r="M122" s="1630">
        <f>M112</f>
        <v>-114270231.84134226</v>
      </c>
      <c r="O122" s="1630">
        <f>O112</f>
        <v>16468533.088307384</v>
      </c>
      <c r="Q122" s="1630">
        <f>Q112</f>
        <v>-97801698.753034875</v>
      </c>
    </row>
    <row r="123" spans="3:17" ht="5.0999999999999996" customHeight="1">
      <c r="K123" s="1646"/>
      <c r="M123" s="1646"/>
      <c r="O123" s="1646"/>
      <c r="Q123" s="1646"/>
    </row>
    <row r="124" spans="3:17">
      <c r="C124" s="1554">
        <f>C122+1</f>
        <v>55</v>
      </c>
      <c r="E124" s="1551" t="s">
        <v>1708</v>
      </c>
      <c r="K124" s="1631">
        <f>SUM(K121:K123)</f>
        <v>-147092362.13733363</v>
      </c>
      <c r="L124" s="1631"/>
      <c r="M124" s="1631">
        <f>SUM(M121:M123)</f>
        <v>-114270231.84134226</v>
      </c>
      <c r="N124" s="1628"/>
      <c r="O124" s="1631">
        <f>SUM(O121:O123)</f>
        <v>16468533.088307384</v>
      </c>
      <c r="P124" s="1628"/>
      <c r="Q124" s="1631">
        <f>SUM(Q121:Q123)</f>
        <v>-97801698.753034875</v>
      </c>
    </row>
    <row r="128" spans="3:17" ht="15.75" customHeight="1">
      <c r="C128" s="1880" t="s">
        <v>1670</v>
      </c>
      <c r="D128" s="1880"/>
      <c r="E128" s="1880"/>
      <c r="F128" s="1880"/>
      <c r="G128" s="1880"/>
      <c r="H128" s="1880"/>
      <c r="I128" s="1880"/>
      <c r="J128" s="1880"/>
      <c r="K128" s="1880"/>
      <c r="L128" s="1880"/>
      <c r="M128" s="1880"/>
      <c r="N128" s="1880"/>
      <c r="O128" s="1880"/>
      <c r="P128" s="1880"/>
      <c r="Q128" s="1880"/>
    </row>
    <row r="130" spans="1:17" ht="15.75" customHeight="1">
      <c r="C130" s="1888" t="s">
        <v>1709</v>
      </c>
      <c r="D130" s="1889"/>
      <c r="E130" s="1889"/>
      <c r="F130" s="1889"/>
      <c r="G130" s="1889"/>
      <c r="H130" s="1889"/>
      <c r="I130" s="1889"/>
      <c r="J130" s="1889"/>
      <c r="K130" s="1889"/>
      <c r="L130" s="1889"/>
      <c r="M130" s="1889"/>
      <c r="N130" s="1889"/>
      <c r="O130" s="1889"/>
      <c r="P130" s="1889"/>
      <c r="Q130" s="1890"/>
    </row>
    <row r="132" spans="1:17">
      <c r="E132" s="1552" t="s">
        <v>216</v>
      </c>
      <c r="F132" s="1552"/>
      <c r="G132" s="1552" t="s">
        <v>217</v>
      </c>
      <c r="H132" s="1552"/>
      <c r="I132" s="1552" t="s">
        <v>1296</v>
      </c>
      <c r="J132" s="1552"/>
      <c r="K132" s="1552" t="s">
        <v>1580</v>
      </c>
      <c r="L132" s="1552"/>
      <c r="M132" s="1552" t="s">
        <v>1683</v>
      </c>
      <c r="N132" s="1552"/>
      <c r="O132" s="1552" t="s">
        <v>1582</v>
      </c>
      <c r="P132" s="1552"/>
      <c r="Q132" s="1552" t="s">
        <v>1583</v>
      </c>
    </row>
    <row r="133" spans="1:17" ht="15" customHeight="1">
      <c r="C133" s="1877" t="s">
        <v>1590</v>
      </c>
      <c r="D133" s="1734"/>
      <c r="E133" s="1891" t="s">
        <v>1664</v>
      </c>
      <c r="G133" s="1893" t="s">
        <v>381</v>
      </c>
      <c r="I133" s="1893" t="s">
        <v>1684</v>
      </c>
      <c r="K133" s="1635"/>
      <c r="M133" s="1636" t="s">
        <v>1895</v>
      </c>
      <c r="O133" s="1895" t="s">
        <v>1686</v>
      </c>
      <c r="Q133" s="1636" t="s">
        <v>1994</v>
      </c>
    </row>
    <row r="134" spans="1:17" ht="25.5">
      <c r="C134" s="1878"/>
      <c r="D134" s="1734"/>
      <c r="E134" s="1892"/>
      <c r="F134" s="1637"/>
      <c r="G134" s="1894"/>
      <c r="H134" s="1637"/>
      <c r="I134" s="1894"/>
      <c r="J134" s="1637"/>
      <c r="K134" s="1638" t="s">
        <v>1687</v>
      </c>
      <c r="M134" s="1737" t="s">
        <v>1688</v>
      </c>
      <c r="O134" s="1896"/>
      <c r="Q134" s="1737" t="s">
        <v>1689</v>
      </c>
    </row>
    <row r="135" spans="1:17" ht="5.0999999999999996" customHeight="1"/>
    <row r="136" spans="1:17">
      <c r="A136" s="1639"/>
      <c r="B136" s="1639"/>
      <c r="C136" s="1554">
        <f>C124+1</f>
        <v>56</v>
      </c>
      <c r="D136" s="1639"/>
      <c r="E136" s="1640" t="s">
        <v>1690</v>
      </c>
      <c r="F136" s="1639"/>
      <c r="G136" s="1641"/>
      <c r="H136" s="1639"/>
      <c r="I136" s="1641"/>
      <c r="J136" s="1639"/>
      <c r="K136" s="1642"/>
      <c r="M136" s="1631"/>
      <c r="O136" s="1643"/>
      <c r="Q136" s="1639"/>
    </row>
    <row r="137" spans="1:17" ht="5.0999999999999996" customHeight="1">
      <c r="C137" s="1554"/>
    </row>
    <row r="138" spans="1:17">
      <c r="C138" s="1554">
        <f>C136+1</f>
        <v>57</v>
      </c>
      <c r="E138" s="1626" t="s">
        <v>1667</v>
      </c>
      <c r="G138" s="1644" t="s">
        <v>82</v>
      </c>
      <c r="I138" s="1641" t="s">
        <v>1691</v>
      </c>
      <c r="K138" s="1629">
        <v>132587</v>
      </c>
      <c r="L138" s="1628"/>
      <c r="M138" s="1629">
        <v>91153.25</v>
      </c>
      <c r="N138" s="1628"/>
      <c r="O138" s="1629">
        <v>-33146.75</v>
      </c>
      <c r="P138" s="1628"/>
      <c r="Q138" s="1629">
        <f>M138+O138</f>
        <v>58006.5</v>
      </c>
    </row>
    <row r="139" spans="1:17">
      <c r="C139" s="1554">
        <f>C138+1</f>
        <v>58</v>
      </c>
      <c r="E139" s="1626" t="s">
        <v>1692</v>
      </c>
      <c r="G139" s="1644" t="s">
        <v>82</v>
      </c>
      <c r="I139" s="1641" t="s">
        <v>1691</v>
      </c>
      <c r="K139" s="1645">
        <v>0</v>
      </c>
      <c r="M139" s="1645">
        <v>0</v>
      </c>
      <c r="O139" s="1645">
        <f>-K139/4</f>
        <v>0</v>
      </c>
      <c r="Q139" s="1630">
        <f>M139+O139</f>
        <v>0</v>
      </c>
    </row>
    <row r="140" spans="1:17">
      <c r="C140" s="1554">
        <f>C139+1</f>
        <v>59</v>
      </c>
      <c r="E140" s="1626" t="s">
        <v>1668</v>
      </c>
      <c r="G140" s="1644" t="s">
        <v>82</v>
      </c>
      <c r="I140" s="1641" t="s">
        <v>1691</v>
      </c>
      <c r="K140" s="1645">
        <v>0</v>
      </c>
      <c r="M140" s="1645">
        <v>0</v>
      </c>
      <c r="O140" s="1645">
        <f>-K140/4</f>
        <v>0</v>
      </c>
      <c r="Q140" s="1630">
        <f>M140+O140</f>
        <v>0</v>
      </c>
    </row>
    <row r="141" spans="1:17">
      <c r="C141" s="1554">
        <f>C140+1</f>
        <v>60</v>
      </c>
      <c r="E141" s="1626" t="s">
        <v>1669</v>
      </c>
      <c r="G141" s="1644" t="s">
        <v>82</v>
      </c>
      <c r="I141" s="1641" t="s">
        <v>1691</v>
      </c>
      <c r="K141" s="1645">
        <v>0</v>
      </c>
      <c r="M141" s="1645">
        <v>0</v>
      </c>
      <c r="O141" s="1645">
        <f>-K141/4</f>
        <v>0</v>
      </c>
      <c r="Q141" s="1630">
        <f>M141+O141</f>
        <v>0</v>
      </c>
    </row>
    <row r="142" spans="1:17" ht="5.0999999999999996" customHeight="1">
      <c r="K142" s="1646"/>
      <c r="M142" s="1646"/>
      <c r="O142" s="1646"/>
      <c r="Q142" s="1646"/>
    </row>
    <row r="143" spans="1:17">
      <c r="C143" s="1554">
        <f>C141+1</f>
        <v>61</v>
      </c>
      <c r="E143" s="1551" t="s">
        <v>1693</v>
      </c>
      <c r="K143" s="1631">
        <f>SUM(K137:K142)</f>
        <v>132587</v>
      </c>
      <c r="L143" s="1631"/>
      <c r="M143" s="1631">
        <f>SUM(M137:M142)</f>
        <v>91153.25</v>
      </c>
      <c r="N143" s="1628"/>
      <c r="O143" s="1631">
        <f>SUM(O137:O142)</f>
        <v>-33146.75</v>
      </c>
      <c r="P143" s="1631"/>
      <c r="Q143" s="1631">
        <f>SUM(Q137:Q142)</f>
        <v>58006.5</v>
      </c>
    </row>
    <row r="145" spans="1:17">
      <c r="A145" s="1639"/>
      <c r="B145" s="1639"/>
      <c r="C145" s="1554">
        <f>C143+1</f>
        <v>62</v>
      </c>
      <c r="D145" s="1639"/>
      <c r="E145" s="1640" t="s">
        <v>1694</v>
      </c>
      <c r="F145" s="1639"/>
      <c r="G145" s="1641"/>
      <c r="H145" s="1639"/>
      <c r="I145" s="1641"/>
      <c r="J145" s="1639"/>
      <c r="K145" s="1642"/>
      <c r="M145" s="1631"/>
      <c r="O145" s="1643"/>
      <c r="Q145" s="1639"/>
    </row>
    <row r="146" spans="1:17" ht="5.0999999999999996" customHeight="1"/>
    <row r="147" spans="1:17">
      <c r="C147" s="1554">
        <f>C145+1</f>
        <v>63</v>
      </c>
      <c r="E147" s="1626" t="s">
        <v>1667</v>
      </c>
      <c r="G147" s="1644" t="s">
        <v>82</v>
      </c>
      <c r="I147" s="1641" t="s">
        <v>1695</v>
      </c>
      <c r="K147" s="1629">
        <v>0</v>
      </c>
      <c r="L147" s="1628"/>
      <c r="M147" s="1629">
        <v>0</v>
      </c>
      <c r="N147" s="1631"/>
      <c r="O147" s="1629">
        <v>0</v>
      </c>
      <c r="P147" s="1631"/>
      <c r="Q147" s="1629">
        <f>M147+O147</f>
        <v>0</v>
      </c>
    </row>
    <row r="148" spans="1:17">
      <c r="C148" s="1554">
        <f>C147+1</f>
        <v>64</v>
      </c>
      <c r="E148" s="1626" t="s">
        <v>1692</v>
      </c>
      <c r="G148" s="1644" t="s">
        <v>82</v>
      </c>
      <c r="I148" s="1641" t="s">
        <v>1695</v>
      </c>
      <c r="K148" s="1645">
        <v>0</v>
      </c>
      <c r="M148" s="1645">
        <v>0</v>
      </c>
      <c r="O148" s="1645">
        <v>0</v>
      </c>
      <c r="Q148" s="1630">
        <f>M148+O148</f>
        <v>0</v>
      </c>
    </row>
    <row r="149" spans="1:17">
      <c r="C149" s="1554">
        <f>C148+1</f>
        <v>65</v>
      </c>
      <c r="E149" s="1626" t="s">
        <v>1668</v>
      </c>
      <c r="G149" s="1644" t="s">
        <v>82</v>
      </c>
      <c r="I149" s="1641" t="s">
        <v>1695</v>
      </c>
      <c r="K149" s="1645">
        <v>1905435</v>
      </c>
      <c r="M149" s="1645">
        <v>1429076.25</v>
      </c>
      <c r="O149" s="1645">
        <v>-381087</v>
      </c>
      <c r="Q149" s="1630">
        <f>M149+O149</f>
        <v>1047989.25</v>
      </c>
    </row>
    <row r="150" spans="1:17">
      <c r="C150" s="1554">
        <f>C149+1</f>
        <v>66</v>
      </c>
      <c r="E150" s="1626" t="s">
        <v>1669</v>
      </c>
      <c r="G150" s="1644" t="s">
        <v>82</v>
      </c>
      <c r="I150" s="1641" t="s">
        <v>1695</v>
      </c>
      <c r="K150" s="1645">
        <v>0</v>
      </c>
      <c r="M150" s="1645">
        <v>0</v>
      </c>
      <c r="O150" s="1645">
        <v>0</v>
      </c>
      <c r="Q150" s="1630">
        <f>M150+O150</f>
        <v>0</v>
      </c>
    </row>
    <row r="151" spans="1:17" ht="5.0999999999999996" customHeight="1">
      <c r="K151" s="1646"/>
      <c r="M151" s="1646"/>
      <c r="O151" s="1646"/>
      <c r="Q151" s="1646"/>
    </row>
    <row r="152" spans="1:17">
      <c r="C152" s="1554">
        <f>C150+1</f>
        <v>67</v>
      </c>
      <c r="E152" s="1551" t="s">
        <v>1693</v>
      </c>
      <c r="K152" s="1631">
        <f>SUM(K146:K151)</f>
        <v>1905435</v>
      </c>
      <c r="L152" s="1628"/>
      <c r="M152" s="1631">
        <f>SUM(M146:M151)</f>
        <v>1429076.25</v>
      </c>
      <c r="N152" s="1631"/>
      <c r="O152" s="1631">
        <f>SUM(O146:O151)</f>
        <v>-381087</v>
      </c>
      <c r="P152" s="1631"/>
      <c r="Q152" s="1631">
        <f>SUM(Q146:Q151)</f>
        <v>1047989.25</v>
      </c>
    </row>
    <row r="154" spans="1:17">
      <c r="A154" s="1639"/>
      <c r="B154" s="1639"/>
      <c r="C154" s="1554">
        <f>C152+1</f>
        <v>68</v>
      </c>
      <c r="D154" s="1639"/>
      <c r="E154" s="1640" t="s">
        <v>1696</v>
      </c>
      <c r="F154" s="1639"/>
      <c r="G154" s="1641"/>
      <c r="H154" s="1639"/>
      <c r="I154" s="1641"/>
      <c r="J154" s="1639"/>
      <c r="K154" s="1642"/>
      <c r="M154" s="1631"/>
      <c r="O154" s="1643"/>
      <c r="Q154" s="1639"/>
    </row>
    <row r="155" spans="1:17" ht="5.0999999999999996" customHeight="1"/>
    <row r="156" spans="1:17">
      <c r="C156" s="1554">
        <f>C154+1</f>
        <v>69</v>
      </c>
      <c r="E156" s="1626" t="s">
        <v>1667</v>
      </c>
      <c r="G156" s="1644" t="s">
        <v>82</v>
      </c>
      <c r="I156" s="1641" t="s">
        <v>1710</v>
      </c>
      <c r="K156" s="1629">
        <v>0</v>
      </c>
      <c r="M156" s="1645">
        <v>0</v>
      </c>
      <c r="O156" s="1645">
        <v>0</v>
      </c>
      <c r="Q156" s="1630">
        <f>M156+O156</f>
        <v>0</v>
      </c>
    </row>
    <row r="157" spans="1:17">
      <c r="C157" s="1554">
        <f>C156+1</f>
        <v>70</v>
      </c>
      <c r="E157" s="1626" t="s">
        <v>1692</v>
      </c>
      <c r="G157" s="1644" t="s">
        <v>82</v>
      </c>
      <c r="I157" s="1641" t="s">
        <v>1710</v>
      </c>
      <c r="K157" s="1645">
        <v>0</v>
      </c>
      <c r="M157" s="1645">
        <v>0</v>
      </c>
      <c r="O157" s="1645">
        <v>0</v>
      </c>
      <c r="Q157" s="1630">
        <f>M157+O157</f>
        <v>0</v>
      </c>
    </row>
    <row r="158" spans="1:17">
      <c r="C158" s="1554">
        <f>C157+1</f>
        <v>71</v>
      </c>
      <c r="E158" s="1626" t="s">
        <v>1668</v>
      </c>
      <c r="G158" s="1644" t="s">
        <v>82</v>
      </c>
      <c r="I158" s="1641" t="s">
        <v>1710</v>
      </c>
      <c r="K158" s="1645">
        <v>0</v>
      </c>
      <c r="M158" s="1645">
        <v>0</v>
      </c>
      <c r="O158" s="1645">
        <v>0</v>
      </c>
      <c r="Q158" s="1630">
        <f>M158+O158</f>
        <v>0</v>
      </c>
    </row>
    <row r="159" spans="1:17">
      <c r="C159" s="1554">
        <f>C158+1</f>
        <v>72</v>
      </c>
      <c r="E159" s="1626" t="s">
        <v>1669</v>
      </c>
      <c r="G159" s="1644" t="s">
        <v>82</v>
      </c>
      <c r="I159" s="1641" t="s">
        <v>1710</v>
      </c>
      <c r="K159" s="1645">
        <v>0</v>
      </c>
      <c r="M159" s="1645">
        <v>0</v>
      </c>
      <c r="O159" s="1645">
        <v>0</v>
      </c>
      <c r="Q159" s="1630">
        <f>M159+O159</f>
        <v>0</v>
      </c>
    </row>
    <row r="160" spans="1:17" ht="5.0999999999999996" customHeight="1">
      <c r="K160" s="1646"/>
      <c r="M160" s="1646"/>
      <c r="O160" s="1646"/>
      <c r="Q160" s="1646"/>
    </row>
    <row r="161" spans="1:17">
      <c r="C161" s="1554">
        <f>C159+1</f>
        <v>73</v>
      </c>
      <c r="E161" s="1551" t="s">
        <v>1693</v>
      </c>
      <c r="K161" s="1631">
        <f>SUM(K155:K160)</f>
        <v>0</v>
      </c>
      <c r="L161" s="1628"/>
      <c r="M161" s="1631">
        <f>SUM(M155:M160)</f>
        <v>0</v>
      </c>
      <c r="N161" s="1628"/>
      <c r="O161" s="1631">
        <f>SUM(O155:O160)</f>
        <v>0</v>
      </c>
      <c r="P161" s="1631"/>
      <c r="Q161" s="1631">
        <f>SUM(Q155:Q160)</f>
        <v>0</v>
      </c>
    </row>
    <row r="163" spans="1:17" ht="13.5" thickBot="1">
      <c r="C163" s="1554">
        <f>C161+1</f>
        <v>74</v>
      </c>
      <c r="E163" s="1551" t="s">
        <v>1698</v>
      </c>
      <c r="K163" s="1647">
        <f>K143+K152+K161</f>
        <v>2038022</v>
      </c>
      <c r="L163" s="1631"/>
      <c r="M163" s="1647">
        <f>M143+M152+M161</f>
        <v>1520229.5</v>
      </c>
      <c r="N163" s="1631"/>
      <c r="O163" s="1647">
        <f>O143+O152+O161</f>
        <v>-414233.75</v>
      </c>
      <c r="P163" s="1631"/>
      <c r="Q163" s="1647">
        <f>Q143+Q152+Q161</f>
        <v>1105995.75</v>
      </c>
    </row>
    <row r="166" spans="1:17" ht="15.75" customHeight="1">
      <c r="C166" s="1888" t="s">
        <v>1711</v>
      </c>
      <c r="D166" s="1889"/>
      <c r="E166" s="1889"/>
      <c r="F166" s="1889"/>
      <c r="G166" s="1889"/>
      <c r="H166" s="1889"/>
      <c r="I166" s="1889"/>
      <c r="J166" s="1889"/>
      <c r="K166" s="1889"/>
      <c r="L166" s="1889"/>
      <c r="M166" s="1889"/>
      <c r="N166" s="1889"/>
      <c r="O166" s="1889"/>
      <c r="P166" s="1889"/>
      <c r="Q166" s="1890"/>
    </row>
    <row r="168" spans="1:17">
      <c r="E168" s="1552" t="s">
        <v>216</v>
      </c>
      <c r="F168" s="1552"/>
      <c r="G168" s="1552" t="s">
        <v>217</v>
      </c>
      <c r="H168" s="1552"/>
      <c r="I168" s="1552" t="s">
        <v>1296</v>
      </c>
      <c r="J168" s="1552"/>
      <c r="K168" s="1552" t="s">
        <v>1580</v>
      </c>
      <c r="L168" s="1552"/>
      <c r="M168" s="1552" t="s">
        <v>1683</v>
      </c>
      <c r="N168" s="1552"/>
      <c r="O168" s="1552" t="s">
        <v>1582</v>
      </c>
      <c r="P168" s="1552"/>
      <c r="Q168" s="1552" t="s">
        <v>1583</v>
      </c>
    </row>
    <row r="169" spans="1:17" ht="15" customHeight="1">
      <c r="C169" s="1877" t="s">
        <v>1590</v>
      </c>
      <c r="D169" s="1734"/>
      <c r="E169" s="1891" t="s">
        <v>1664</v>
      </c>
      <c r="G169" s="1893" t="s">
        <v>381</v>
      </c>
      <c r="I169" s="1893" t="s">
        <v>1684</v>
      </c>
      <c r="K169" s="1635"/>
      <c r="M169" s="1636" t="s">
        <v>1895</v>
      </c>
      <c r="O169" s="1895" t="s">
        <v>1686</v>
      </c>
      <c r="Q169" s="1636" t="s">
        <v>1994</v>
      </c>
    </row>
    <row r="170" spans="1:17" ht="25.5">
      <c r="C170" s="1878"/>
      <c r="D170" s="1734"/>
      <c r="E170" s="1892"/>
      <c r="F170" s="1637"/>
      <c r="G170" s="1894"/>
      <c r="H170" s="1637"/>
      <c r="I170" s="1894"/>
      <c r="J170" s="1637"/>
      <c r="K170" s="1638" t="s">
        <v>1687</v>
      </c>
      <c r="M170" s="1737" t="s">
        <v>1688</v>
      </c>
      <c r="O170" s="1896"/>
      <c r="Q170" s="1737" t="s">
        <v>1689</v>
      </c>
    </row>
    <row r="171" spans="1:17" ht="5.0999999999999996" customHeight="1"/>
    <row r="172" spans="1:17">
      <c r="A172" s="1639"/>
      <c r="B172" s="1639"/>
      <c r="C172" s="1554">
        <f>C163+1</f>
        <v>75</v>
      </c>
      <c r="D172" s="1639"/>
      <c r="E172" s="1640" t="s">
        <v>1690</v>
      </c>
      <c r="F172" s="1639"/>
      <c r="G172" s="1641"/>
      <c r="H172" s="1639"/>
      <c r="I172" s="1641"/>
      <c r="J172" s="1639"/>
      <c r="K172" s="1642"/>
      <c r="M172" s="1631"/>
      <c r="O172" s="1643"/>
      <c r="Q172" s="1639"/>
    </row>
    <row r="173" spans="1:17" ht="5.0999999999999996" customHeight="1">
      <c r="C173" s="1554"/>
    </row>
    <row r="174" spans="1:17">
      <c r="C174" s="1554">
        <f>C172+1</f>
        <v>76</v>
      </c>
      <c r="E174" s="1626" t="s">
        <v>1667</v>
      </c>
      <c r="G174" s="1644" t="s">
        <v>955</v>
      </c>
      <c r="I174" s="1641" t="s">
        <v>1691</v>
      </c>
      <c r="K174" s="1629">
        <f>22098</f>
        <v>22098</v>
      </c>
      <c r="L174" s="1628"/>
      <c r="M174" s="1629">
        <v>15192.5</v>
      </c>
      <c r="N174" s="1628"/>
      <c r="O174" s="1629">
        <v>-5524.5</v>
      </c>
      <c r="P174" s="1628"/>
      <c r="Q174" s="1629">
        <f>M174+O174</f>
        <v>9668</v>
      </c>
    </row>
    <row r="175" spans="1:17">
      <c r="C175" s="1554">
        <f>C174+1</f>
        <v>77</v>
      </c>
      <c r="E175" s="1626" t="s">
        <v>1692</v>
      </c>
      <c r="G175" s="1644" t="s">
        <v>955</v>
      </c>
      <c r="I175" s="1641" t="s">
        <v>1691</v>
      </c>
      <c r="K175" s="1645">
        <v>0</v>
      </c>
      <c r="M175" s="1645">
        <v>0</v>
      </c>
      <c r="O175" s="1645">
        <f>-K175/4</f>
        <v>0</v>
      </c>
      <c r="Q175" s="1630">
        <f>M175+O175</f>
        <v>0</v>
      </c>
    </row>
    <row r="176" spans="1:17">
      <c r="C176" s="1554">
        <f>C175+1</f>
        <v>78</v>
      </c>
      <c r="E176" s="1626" t="s">
        <v>1668</v>
      </c>
      <c r="G176" s="1644" t="s">
        <v>955</v>
      </c>
      <c r="I176" s="1641" t="s">
        <v>1691</v>
      </c>
      <c r="K176" s="1645">
        <v>0</v>
      </c>
      <c r="M176" s="1645">
        <v>0</v>
      </c>
      <c r="O176" s="1645">
        <f>-K176/4</f>
        <v>0</v>
      </c>
      <c r="Q176" s="1630">
        <f>M176+O176</f>
        <v>0</v>
      </c>
    </row>
    <row r="177" spans="1:17">
      <c r="C177" s="1554">
        <f>C176+1</f>
        <v>79</v>
      </c>
      <c r="E177" s="1626" t="s">
        <v>1669</v>
      </c>
      <c r="G177" s="1644" t="s">
        <v>955</v>
      </c>
      <c r="I177" s="1641" t="s">
        <v>1691</v>
      </c>
      <c r="K177" s="1645">
        <v>0</v>
      </c>
      <c r="M177" s="1645">
        <v>0</v>
      </c>
      <c r="O177" s="1645">
        <f>-K177/4</f>
        <v>0</v>
      </c>
      <c r="Q177" s="1630">
        <f>M177+O177</f>
        <v>0</v>
      </c>
    </row>
    <row r="178" spans="1:17" ht="5.0999999999999996" customHeight="1">
      <c r="K178" s="1646"/>
      <c r="M178" s="1646"/>
      <c r="O178" s="1646"/>
      <c r="Q178" s="1646"/>
    </row>
    <row r="179" spans="1:17">
      <c r="C179" s="1554">
        <f>C177+1</f>
        <v>80</v>
      </c>
      <c r="E179" s="1551" t="s">
        <v>1693</v>
      </c>
      <c r="K179" s="1631">
        <f>SUM(K173:K178)</f>
        <v>22098</v>
      </c>
      <c r="L179" s="1631"/>
      <c r="M179" s="1631">
        <f>SUM(M173:M178)</f>
        <v>15192.5</v>
      </c>
      <c r="N179" s="1628"/>
      <c r="O179" s="1631">
        <f>SUM(O173:O178)</f>
        <v>-5524.5</v>
      </c>
      <c r="P179" s="1631"/>
      <c r="Q179" s="1631">
        <f>SUM(Q173:Q178)</f>
        <v>9668</v>
      </c>
    </row>
    <row r="181" spans="1:17">
      <c r="A181" s="1639"/>
      <c r="B181" s="1639"/>
      <c r="C181" s="1554">
        <f>C179+1</f>
        <v>81</v>
      </c>
      <c r="D181" s="1639"/>
      <c r="E181" s="1640" t="s">
        <v>1694</v>
      </c>
      <c r="F181" s="1639"/>
      <c r="G181" s="1641"/>
      <c r="H181" s="1639"/>
      <c r="I181" s="1641"/>
      <c r="J181" s="1639"/>
      <c r="K181" s="1642"/>
      <c r="M181" s="1631"/>
      <c r="O181" s="1643"/>
      <c r="Q181" s="1639"/>
    </row>
    <row r="182" spans="1:17" ht="5.0999999999999996" customHeight="1"/>
    <row r="183" spans="1:17">
      <c r="C183" s="1554">
        <f>C181+1</f>
        <v>82</v>
      </c>
      <c r="E183" s="1626" t="s">
        <v>1667</v>
      </c>
      <c r="G183" s="1644" t="s">
        <v>955</v>
      </c>
      <c r="I183" s="1641" t="s">
        <v>1695</v>
      </c>
      <c r="K183" s="1629">
        <v>0</v>
      </c>
      <c r="L183" s="1628"/>
      <c r="M183" s="1629">
        <v>0</v>
      </c>
      <c r="N183" s="1631"/>
      <c r="O183" s="1629">
        <v>0</v>
      </c>
      <c r="P183" s="1631"/>
      <c r="Q183" s="1629">
        <f>M183+O183</f>
        <v>0</v>
      </c>
    </row>
    <row r="184" spans="1:17">
      <c r="C184" s="1554">
        <f>C183+1</f>
        <v>83</v>
      </c>
      <c r="E184" s="1626" t="s">
        <v>1692</v>
      </c>
      <c r="G184" s="1644" t="s">
        <v>955</v>
      </c>
      <c r="I184" s="1641" t="s">
        <v>1695</v>
      </c>
      <c r="K184" s="1645">
        <v>0</v>
      </c>
      <c r="M184" s="1645">
        <v>0</v>
      </c>
      <c r="O184" s="1645">
        <v>0</v>
      </c>
      <c r="Q184" s="1630">
        <f>M184+O184</f>
        <v>0</v>
      </c>
    </row>
    <row r="185" spans="1:17">
      <c r="C185" s="1554">
        <f>C184+1</f>
        <v>84</v>
      </c>
      <c r="E185" s="1626" t="s">
        <v>1668</v>
      </c>
      <c r="G185" s="1644" t="s">
        <v>955</v>
      </c>
      <c r="I185" s="1641" t="s">
        <v>1695</v>
      </c>
      <c r="K185" s="1645">
        <f>497120</f>
        <v>497120</v>
      </c>
      <c r="M185" s="1645">
        <v>372840</v>
      </c>
      <c r="O185" s="1645">
        <v>-99424</v>
      </c>
      <c r="Q185" s="1630">
        <f>M185+O185</f>
        <v>273416</v>
      </c>
    </row>
    <row r="186" spans="1:17">
      <c r="C186" s="1554">
        <f>C185+1</f>
        <v>85</v>
      </c>
      <c r="E186" s="1626" t="s">
        <v>1669</v>
      </c>
      <c r="G186" s="1644" t="s">
        <v>955</v>
      </c>
      <c r="I186" s="1641" t="s">
        <v>1695</v>
      </c>
      <c r="K186" s="1645">
        <v>0</v>
      </c>
      <c r="M186" s="1645">
        <v>0</v>
      </c>
      <c r="O186" s="1645">
        <v>0</v>
      </c>
      <c r="Q186" s="1630">
        <f>M186+O186</f>
        <v>0</v>
      </c>
    </row>
    <row r="187" spans="1:17" ht="5.0999999999999996" customHeight="1">
      <c r="K187" s="1646"/>
      <c r="M187" s="1646"/>
      <c r="O187" s="1646"/>
      <c r="Q187" s="1646"/>
    </row>
    <row r="188" spans="1:17">
      <c r="C188" s="1554">
        <f>C186+1</f>
        <v>86</v>
      </c>
      <c r="E188" s="1551" t="s">
        <v>1693</v>
      </c>
      <c r="K188" s="1631">
        <f>SUM(K182:K187)</f>
        <v>497120</v>
      </c>
      <c r="L188" s="1628"/>
      <c r="M188" s="1631">
        <f>SUM(M182:M187)</f>
        <v>372840</v>
      </c>
      <c r="N188" s="1631"/>
      <c r="O188" s="1631">
        <f>SUM(O182:O187)</f>
        <v>-99424</v>
      </c>
      <c r="P188" s="1631"/>
      <c r="Q188" s="1631">
        <f>SUM(Q182:Q187)</f>
        <v>273416</v>
      </c>
    </row>
    <row r="190" spans="1:17">
      <c r="A190" s="1639"/>
      <c r="B190" s="1639"/>
      <c r="C190" s="1554">
        <f>C188+1</f>
        <v>87</v>
      </c>
      <c r="D190" s="1639"/>
      <c r="E190" s="1640" t="s">
        <v>1696</v>
      </c>
      <c r="F190" s="1639"/>
      <c r="G190" s="1641"/>
      <c r="H190" s="1639"/>
      <c r="I190" s="1641"/>
      <c r="J190" s="1639"/>
      <c r="K190" s="1642"/>
      <c r="M190" s="1631"/>
      <c r="O190" s="1643"/>
      <c r="Q190" s="1639"/>
    </row>
    <row r="191" spans="1:17" ht="5.0999999999999996" customHeight="1"/>
    <row r="192" spans="1:17">
      <c r="C192" s="1554">
        <f>C190+1</f>
        <v>88</v>
      </c>
      <c r="E192" s="1626" t="s">
        <v>1667</v>
      </c>
      <c r="G192" s="1644" t="s">
        <v>955</v>
      </c>
      <c r="I192" s="1641" t="s">
        <v>1710</v>
      </c>
      <c r="K192" s="1629">
        <v>0</v>
      </c>
      <c r="M192" s="1629">
        <v>0</v>
      </c>
      <c r="N192" s="1631"/>
      <c r="O192" s="1629">
        <v>0</v>
      </c>
      <c r="P192" s="1631"/>
      <c r="Q192" s="1629">
        <f>M192+O192</f>
        <v>0</v>
      </c>
    </row>
    <row r="193" spans="1:17">
      <c r="C193" s="1554">
        <f>C192+1</f>
        <v>89</v>
      </c>
      <c r="E193" s="1626" t="s">
        <v>1692</v>
      </c>
      <c r="G193" s="1644" t="s">
        <v>955</v>
      </c>
      <c r="I193" s="1641" t="s">
        <v>1710</v>
      </c>
      <c r="K193" s="1645">
        <v>0</v>
      </c>
      <c r="M193" s="1645">
        <v>0</v>
      </c>
      <c r="O193" s="1645">
        <v>0</v>
      </c>
      <c r="Q193" s="1630">
        <f>M193+O193</f>
        <v>0</v>
      </c>
    </row>
    <row r="194" spans="1:17">
      <c r="C194" s="1554">
        <f>C193+1</f>
        <v>90</v>
      </c>
      <c r="E194" s="1626" t="s">
        <v>1668</v>
      </c>
      <c r="G194" s="1644" t="s">
        <v>955</v>
      </c>
      <c r="I194" s="1641" t="s">
        <v>1710</v>
      </c>
      <c r="K194" s="1645">
        <v>0</v>
      </c>
      <c r="M194" s="1645">
        <v>0</v>
      </c>
      <c r="O194" s="1645">
        <v>0</v>
      </c>
      <c r="Q194" s="1630">
        <f>M194+O194</f>
        <v>0</v>
      </c>
    </row>
    <row r="195" spans="1:17">
      <c r="C195" s="1554">
        <f>C194+1</f>
        <v>91</v>
      </c>
      <c r="E195" s="1626" t="s">
        <v>1669</v>
      </c>
      <c r="G195" s="1644" t="s">
        <v>955</v>
      </c>
      <c r="I195" s="1641" t="s">
        <v>1710</v>
      </c>
      <c r="K195" s="1645">
        <v>0</v>
      </c>
      <c r="M195" s="1645">
        <v>0</v>
      </c>
      <c r="O195" s="1645">
        <v>0</v>
      </c>
      <c r="Q195" s="1630">
        <f>M195+O195</f>
        <v>0</v>
      </c>
    </row>
    <row r="196" spans="1:17" ht="5.0999999999999996" customHeight="1">
      <c r="K196" s="1646"/>
      <c r="M196" s="1646"/>
      <c r="O196" s="1646"/>
      <c r="Q196" s="1646"/>
    </row>
    <row r="197" spans="1:17">
      <c r="C197" s="1554">
        <f>C195+1</f>
        <v>92</v>
      </c>
      <c r="E197" s="1551" t="s">
        <v>1693</v>
      </c>
      <c r="K197" s="1631">
        <f>SUM(K191:K196)</f>
        <v>0</v>
      </c>
      <c r="L197" s="1628"/>
      <c r="M197" s="1631">
        <f>SUM(M191:M196)</f>
        <v>0</v>
      </c>
      <c r="N197" s="1628"/>
      <c r="O197" s="1631">
        <f>SUM(O191:O196)</f>
        <v>0</v>
      </c>
      <c r="P197" s="1631"/>
      <c r="Q197" s="1631">
        <f>SUM(Q191:Q196)</f>
        <v>0</v>
      </c>
    </row>
    <row r="199" spans="1:17" ht="13.5" thickBot="1">
      <c r="C199" s="1554">
        <f>C197+1</f>
        <v>93</v>
      </c>
      <c r="E199" s="1551" t="s">
        <v>1698</v>
      </c>
      <c r="K199" s="1647">
        <f>K179+K188+K197</f>
        <v>519218</v>
      </c>
      <c r="L199" s="1631"/>
      <c r="M199" s="1647">
        <f>M179+M188+M197</f>
        <v>388032.5</v>
      </c>
      <c r="N199" s="1631"/>
      <c r="O199" s="1647">
        <f>O179+O188+O197</f>
        <v>-104948.5</v>
      </c>
      <c r="P199" s="1631"/>
      <c r="Q199" s="1647">
        <f>Q179+Q188+Q197</f>
        <v>283084</v>
      </c>
    </row>
    <row r="202" spans="1:17" ht="15.75" customHeight="1">
      <c r="C202" s="1888" t="s">
        <v>1712</v>
      </c>
      <c r="D202" s="1889"/>
      <c r="E202" s="1889"/>
      <c r="F202" s="1889"/>
      <c r="G202" s="1889"/>
      <c r="H202" s="1889"/>
      <c r="I202" s="1889"/>
      <c r="J202" s="1889"/>
      <c r="K202" s="1889"/>
      <c r="L202" s="1889"/>
      <c r="M202" s="1889"/>
      <c r="N202" s="1889"/>
      <c r="O202" s="1889"/>
      <c r="P202" s="1889"/>
      <c r="Q202" s="1890"/>
    </row>
    <row r="204" spans="1:17">
      <c r="E204" s="1552" t="s">
        <v>216</v>
      </c>
      <c r="F204" s="1552"/>
      <c r="G204" s="1552" t="s">
        <v>217</v>
      </c>
      <c r="H204" s="1552"/>
      <c r="I204" s="1552" t="s">
        <v>1296</v>
      </c>
      <c r="J204" s="1552"/>
      <c r="K204" s="1552" t="s">
        <v>1580</v>
      </c>
      <c r="L204" s="1552"/>
      <c r="M204" s="1552" t="s">
        <v>1683</v>
      </c>
      <c r="N204" s="1552"/>
      <c r="O204" s="1552" t="s">
        <v>1582</v>
      </c>
      <c r="P204" s="1552"/>
      <c r="Q204" s="1552" t="s">
        <v>1583</v>
      </c>
    </row>
    <row r="205" spans="1:17" ht="15" customHeight="1">
      <c r="C205" s="1877" t="s">
        <v>1590</v>
      </c>
      <c r="D205" s="1734"/>
      <c r="E205" s="1891" t="s">
        <v>1664</v>
      </c>
      <c r="G205" s="1893" t="s">
        <v>381</v>
      </c>
      <c r="I205" s="1893" t="s">
        <v>1684</v>
      </c>
      <c r="K205" s="1635"/>
      <c r="M205" s="1636" t="s">
        <v>1895</v>
      </c>
      <c r="O205" s="1895" t="s">
        <v>1686</v>
      </c>
      <c r="Q205" s="1636" t="s">
        <v>1994</v>
      </c>
    </row>
    <row r="206" spans="1:17" ht="25.5">
      <c r="C206" s="1878"/>
      <c r="D206" s="1734"/>
      <c r="E206" s="1892"/>
      <c r="F206" s="1637"/>
      <c r="G206" s="1894"/>
      <c r="H206" s="1637"/>
      <c r="I206" s="1894"/>
      <c r="J206" s="1637"/>
      <c r="K206" s="1638" t="s">
        <v>1687</v>
      </c>
      <c r="M206" s="1737" t="s">
        <v>1688</v>
      </c>
      <c r="O206" s="1896"/>
      <c r="Q206" s="1737" t="s">
        <v>1689</v>
      </c>
    </row>
    <row r="207" spans="1:17" ht="5.0999999999999996" customHeight="1"/>
    <row r="208" spans="1:17">
      <c r="A208" s="1639"/>
      <c r="B208" s="1639"/>
      <c r="C208" s="1554">
        <f>C199+1</f>
        <v>94</v>
      </c>
      <c r="D208" s="1639"/>
      <c r="E208" s="1640" t="s">
        <v>1690</v>
      </c>
      <c r="F208" s="1639"/>
      <c r="G208" s="1641"/>
      <c r="H208" s="1639"/>
      <c r="I208" s="1641"/>
      <c r="J208" s="1639"/>
      <c r="K208" s="1642"/>
      <c r="M208" s="1631"/>
      <c r="O208" s="1643"/>
      <c r="Q208" s="1639"/>
    </row>
    <row r="209" spans="1:17" ht="5.0999999999999996" customHeight="1">
      <c r="C209" s="1554"/>
    </row>
    <row r="210" spans="1:17">
      <c r="C210" s="1554">
        <f>C208+1</f>
        <v>95</v>
      </c>
      <c r="E210" s="1626" t="s">
        <v>1667</v>
      </c>
      <c r="G210" s="1644" t="s">
        <v>954</v>
      </c>
      <c r="I210" s="1641" t="s">
        <v>1691</v>
      </c>
      <c r="K210" s="1629">
        <v>0</v>
      </c>
      <c r="L210" s="1628"/>
      <c r="M210" s="1629">
        <v>0</v>
      </c>
      <c r="N210" s="1628"/>
      <c r="O210" s="1629">
        <f>-K210/4*(3/12)</f>
        <v>0</v>
      </c>
      <c r="P210" s="1628"/>
      <c r="Q210" s="1629">
        <f>M210+O210</f>
        <v>0</v>
      </c>
    </row>
    <row r="211" spans="1:17">
      <c r="C211" s="1554">
        <f>C210+1</f>
        <v>96</v>
      </c>
      <c r="E211" s="1626" t="s">
        <v>1692</v>
      </c>
      <c r="G211" s="1644" t="s">
        <v>954</v>
      </c>
      <c r="I211" s="1641" t="s">
        <v>1691</v>
      </c>
      <c r="K211" s="1645">
        <v>0</v>
      </c>
      <c r="M211" s="1645">
        <v>0</v>
      </c>
      <c r="O211" s="1645">
        <f>-K211/4</f>
        <v>0</v>
      </c>
      <c r="Q211" s="1630">
        <f>M211+O211</f>
        <v>0</v>
      </c>
    </row>
    <row r="212" spans="1:17">
      <c r="C212" s="1554">
        <f>C211+1</f>
        <v>97</v>
      </c>
      <c r="E212" s="1626" t="s">
        <v>1668</v>
      </c>
      <c r="G212" s="1644" t="s">
        <v>954</v>
      </c>
      <c r="I212" s="1641" t="s">
        <v>1691</v>
      </c>
      <c r="K212" s="1645">
        <v>0</v>
      </c>
      <c r="M212" s="1645">
        <v>0</v>
      </c>
      <c r="O212" s="1645">
        <f>-K212/4</f>
        <v>0</v>
      </c>
      <c r="Q212" s="1630">
        <f>M212+O212</f>
        <v>0</v>
      </c>
    </row>
    <row r="213" spans="1:17">
      <c r="C213" s="1554">
        <f>C212+1</f>
        <v>98</v>
      </c>
      <c r="E213" s="1626" t="s">
        <v>1669</v>
      </c>
      <c r="G213" s="1644" t="s">
        <v>954</v>
      </c>
      <c r="I213" s="1641" t="s">
        <v>1691</v>
      </c>
      <c r="K213" s="1645">
        <v>0</v>
      </c>
      <c r="M213" s="1645">
        <v>0</v>
      </c>
      <c r="O213" s="1645">
        <f>-K213/4</f>
        <v>0</v>
      </c>
      <c r="Q213" s="1630">
        <f>M213+O213</f>
        <v>0</v>
      </c>
    </row>
    <row r="214" spans="1:17" ht="5.0999999999999996" customHeight="1">
      <c r="K214" s="1646"/>
      <c r="M214" s="1646"/>
      <c r="O214" s="1646"/>
      <c r="Q214" s="1646"/>
    </row>
    <row r="215" spans="1:17">
      <c r="C215" s="1554">
        <f>C213+1</f>
        <v>99</v>
      </c>
      <c r="E215" s="1551" t="s">
        <v>1693</v>
      </c>
      <c r="K215" s="1631">
        <f>SUM(K209:K214)</f>
        <v>0</v>
      </c>
      <c r="L215" s="1631"/>
      <c r="M215" s="1631">
        <f>SUM(M209:M214)</f>
        <v>0</v>
      </c>
      <c r="N215" s="1628"/>
      <c r="O215" s="1631">
        <f>SUM(O209:O214)</f>
        <v>0</v>
      </c>
      <c r="P215" s="1631"/>
      <c r="Q215" s="1631">
        <f>SUM(Q209:Q214)</f>
        <v>0</v>
      </c>
    </row>
    <row r="217" spans="1:17">
      <c r="A217" s="1639"/>
      <c r="B217" s="1639"/>
      <c r="C217" s="1554">
        <f>C215+1</f>
        <v>100</v>
      </c>
      <c r="D217" s="1639"/>
      <c r="E217" s="1640" t="s">
        <v>1694</v>
      </c>
      <c r="F217" s="1639"/>
      <c r="G217" s="1641"/>
      <c r="H217" s="1639"/>
      <c r="I217" s="1641"/>
      <c r="J217" s="1639"/>
      <c r="K217" s="1642"/>
      <c r="M217" s="1631"/>
      <c r="O217" s="1643"/>
      <c r="Q217" s="1639"/>
    </row>
    <row r="218" spans="1:17" ht="5.0999999999999996" customHeight="1"/>
    <row r="219" spans="1:17">
      <c r="C219" s="1554">
        <f>C217+1</f>
        <v>101</v>
      </c>
      <c r="E219" s="1626" t="s">
        <v>1667</v>
      </c>
      <c r="G219" s="1644" t="s">
        <v>954</v>
      </c>
      <c r="I219" s="1641" t="s">
        <v>1695</v>
      </c>
      <c r="K219" s="1629">
        <v>0</v>
      </c>
      <c r="L219" s="1628"/>
      <c r="M219" s="1629">
        <v>0</v>
      </c>
      <c r="N219" s="1631"/>
      <c r="O219" s="1629">
        <v>0</v>
      </c>
      <c r="P219" s="1631"/>
      <c r="Q219" s="1629">
        <f>M219+O219</f>
        <v>0</v>
      </c>
    </row>
    <row r="220" spans="1:17">
      <c r="C220" s="1554">
        <f>C219+1</f>
        <v>102</v>
      </c>
      <c r="E220" s="1626" t="s">
        <v>1692</v>
      </c>
      <c r="G220" s="1644" t="s">
        <v>954</v>
      </c>
      <c r="I220" s="1641" t="s">
        <v>1695</v>
      </c>
      <c r="K220" s="1645">
        <v>0</v>
      </c>
      <c r="M220" s="1645">
        <v>0</v>
      </c>
      <c r="O220" s="1645">
        <v>0</v>
      </c>
      <c r="Q220" s="1630">
        <f>M220+O220</f>
        <v>0</v>
      </c>
    </row>
    <row r="221" spans="1:17">
      <c r="C221" s="1554">
        <f>C220+1</f>
        <v>103</v>
      </c>
      <c r="E221" s="1626" t="s">
        <v>1668</v>
      </c>
      <c r="G221" s="1644" t="s">
        <v>954</v>
      </c>
      <c r="I221" s="1641" t="s">
        <v>1695</v>
      </c>
      <c r="K221" s="1645">
        <v>-945116</v>
      </c>
      <c r="M221" s="1645">
        <v>-708836.8</v>
      </c>
      <c r="O221" s="1645">
        <v>189023.2</v>
      </c>
      <c r="Q221" s="1630">
        <f>M221+O221</f>
        <v>-519813.60000000003</v>
      </c>
    </row>
    <row r="222" spans="1:17">
      <c r="C222" s="1554">
        <f>C221+1</f>
        <v>104</v>
      </c>
      <c r="E222" s="1626" t="s">
        <v>1669</v>
      </c>
      <c r="G222" s="1644" t="s">
        <v>954</v>
      </c>
      <c r="I222" s="1641" t="s">
        <v>1695</v>
      </c>
      <c r="K222" s="1645">
        <v>0</v>
      </c>
      <c r="M222" s="1645">
        <v>0</v>
      </c>
      <c r="O222" s="1645">
        <v>0</v>
      </c>
      <c r="Q222" s="1630">
        <f>M222+O222</f>
        <v>0</v>
      </c>
    </row>
    <row r="223" spans="1:17" ht="5.0999999999999996" customHeight="1">
      <c r="K223" s="1646"/>
      <c r="M223" s="1646"/>
      <c r="O223" s="1646"/>
      <c r="Q223" s="1646"/>
    </row>
    <row r="224" spans="1:17">
      <c r="C224" s="1554">
        <f>C222+1</f>
        <v>105</v>
      </c>
      <c r="E224" s="1551" t="s">
        <v>1693</v>
      </c>
      <c r="K224" s="1631">
        <f>SUM(K218:K223)</f>
        <v>-945116</v>
      </c>
      <c r="L224" s="1628"/>
      <c r="M224" s="1631">
        <f>SUM(M218:M223)</f>
        <v>-708836.8</v>
      </c>
      <c r="N224" s="1631"/>
      <c r="O224" s="1631">
        <f>SUM(O218:O223)</f>
        <v>189023.2</v>
      </c>
      <c r="P224" s="1631"/>
      <c r="Q224" s="1631">
        <f>SUM(Q218:Q223)</f>
        <v>-519813.60000000003</v>
      </c>
    </row>
    <row r="226" spans="1:17">
      <c r="A226" s="1639"/>
      <c r="B226" s="1639"/>
      <c r="C226" s="1554">
        <f>C224+1</f>
        <v>106</v>
      </c>
      <c r="D226" s="1639"/>
      <c r="E226" s="1640" t="s">
        <v>1696</v>
      </c>
      <c r="F226" s="1639"/>
      <c r="G226" s="1641"/>
      <c r="H226" s="1639"/>
      <c r="I226" s="1641"/>
      <c r="J226" s="1639"/>
      <c r="K226" s="1642"/>
      <c r="M226" s="1631"/>
      <c r="O226" s="1643"/>
      <c r="Q226" s="1639"/>
    </row>
    <row r="227" spans="1:17" ht="5.0999999999999996" customHeight="1"/>
    <row r="228" spans="1:17">
      <c r="C228" s="1554">
        <f>C226+1</f>
        <v>107</v>
      </c>
      <c r="E228" s="1626" t="s">
        <v>1667</v>
      </c>
      <c r="G228" s="1644" t="s">
        <v>954</v>
      </c>
      <c r="I228" s="1641" t="s">
        <v>1710</v>
      </c>
      <c r="K228" s="1629">
        <v>0</v>
      </c>
      <c r="M228" s="1629">
        <v>0</v>
      </c>
      <c r="N228" s="1631"/>
      <c r="O228" s="1629">
        <v>0</v>
      </c>
      <c r="P228" s="1631"/>
      <c r="Q228" s="1629">
        <f>M228+O228</f>
        <v>0</v>
      </c>
    </row>
    <row r="229" spans="1:17">
      <c r="C229" s="1554">
        <f>C228+1</f>
        <v>108</v>
      </c>
      <c r="E229" s="1626" t="s">
        <v>1692</v>
      </c>
      <c r="G229" s="1644" t="s">
        <v>954</v>
      </c>
      <c r="I229" s="1641" t="s">
        <v>1710</v>
      </c>
      <c r="K229" s="1645">
        <v>0</v>
      </c>
      <c r="M229" s="1645">
        <v>0</v>
      </c>
      <c r="O229" s="1645">
        <v>0</v>
      </c>
      <c r="Q229" s="1630">
        <f>M229+O229</f>
        <v>0</v>
      </c>
    </row>
    <row r="230" spans="1:17">
      <c r="C230" s="1554">
        <f>C229+1</f>
        <v>109</v>
      </c>
      <c r="E230" s="1626" t="s">
        <v>1668</v>
      </c>
      <c r="G230" s="1644" t="s">
        <v>954</v>
      </c>
      <c r="I230" s="1641" t="s">
        <v>1710</v>
      </c>
      <c r="K230" s="1645">
        <v>0</v>
      </c>
      <c r="M230" s="1645">
        <v>0</v>
      </c>
      <c r="O230" s="1645">
        <v>0</v>
      </c>
      <c r="Q230" s="1630">
        <f>M230+O230</f>
        <v>0</v>
      </c>
    </row>
    <row r="231" spans="1:17">
      <c r="C231" s="1554">
        <f>C230+1</f>
        <v>110</v>
      </c>
      <c r="E231" s="1626" t="s">
        <v>1669</v>
      </c>
      <c r="G231" s="1644" t="s">
        <v>954</v>
      </c>
      <c r="I231" s="1641" t="s">
        <v>1710</v>
      </c>
      <c r="K231" s="1645">
        <v>0</v>
      </c>
      <c r="M231" s="1645">
        <v>0</v>
      </c>
      <c r="O231" s="1645">
        <v>0</v>
      </c>
      <c r="Q231" s="1630">
        <f>M231+O231</f>
        <v>0</v>
      </c>
    </row>
    <row r="232" spans="1:17" ht="5.0999999999999996" customHeight="1">
      <c r="K232" s="1646"/>
      <c r="M232" s="1646"/>
      <c r="O232" s="1646"/>
      <c r="Q232" s="1646"/>
    </row>
    <row r="233" spans="1:17">
      <c r="C233" s="1554">
        <f>C231+1</f>
        <v>111</v>
      </c>
      <c r="E233" s="1551" t="s">
        <v>1693</v>
      </c>
      <c r="K233" s="1631">
        <f>SUM(K227:K232)</f>
        <v>0</v>
      </c>
      <c r="L233" s="1628"/>
      <c r="M233" s="1631">
        <f>SUM(M227:M232)</f>
        <v>0</v>
      </c>
      <c r="N233" s="1628"/>
      <c r="O233" s="1631">
        <f>SUM(O227:O232)</f>
        <v>0</v>
      </c>
      <c r="P233" s="1631"/>
      <c r="Q233" s="1631">
        <f>SUM(Q227:Q232)</f>
        <v>0</v>
      </c>
    </row>
    <row r="235" spans="1:17" ht="13.5" thickBot="1">
      <c r="C235" s="1554">
        <f>C233+1</f>
        <v>112</v>
      </c>
      <c r="E235" s="1551" t="s">
        <v>1698</v>
      </c>
      <c r="K235" s="1647">
        <f>K215+K224+K233</f>
        <v>-945116</v>
      </c>
      <c r="L235" s="1631"/>
      <c r="M235" s="1647">
        <f>M215+M224+M233</f>
        <v>-708836.8</v>
      </c>
      <c r="N235" s="1631"/>
      <c r="O235" s="1647">
        <f>O215+O224+O233</f>
        <v>189023.2</v>
      </c>
      <c r="P235" s="1631"/>
      <c r="Q235" s="1647">
        <f>Q215+Q224+Q233</f>
        <v>-519813.60000000003</v>
      </c>
    </row>
    <row r="238" spans="1:17" ht="15">
      <c r="E238" s="1888" t="s">
        <v>1713</v>
      </c>
      <c r="F238" s="1889"/>
      <c r="G238" s="1889"/>
      <c r="H238" s="1889"/>
      <c r="I238" s="1889"/>
      <c r="J238" s="1889"/>
      <c r="K238" s="1889"/>
      <c r="L238" s="1889"/>
      <c r="M238" s="1889"/>
      <c r="N238" s="1889"/>
      <c r="O238" s="1889"/>
      <c r="P238" s="1889"/>
      <c r="Q238" s="1890"/>
    </row>
    <row r="240" spans="1:17">
      <c r="E240" s="1552" t="s">
        <v>216</v>
      </c>
      <c r="F240" s="1552"/>
      <c r="G240" s="1552" t="s">
        <v>217</v>
      </c>
      <c r="H240" s="1552"/>
      <c r="I240" s="1552" t="s">
        <v>1296</v>
      </c>
      <c r="J240" s="1552"/>
      <c r="K240" s="1552" t="s">
        <v>1580</v>
      </c>
      <c r="L240" s="1552"/>
      <c r="M240" s="1552" t="s">
        <v>1683</v>
      </c>
      <c r="N240" s="1552"/>
      <c r="O240" s="1552" t="s">
        <v>1582</v>
      </c>
      <c r="P240" s="1552"/>
      <c r="Q240" s="1552" t="s">
        <v>1583</v>
      </c>
    </row>
    <row r="241" spans="1:21" ht="15" customHeight="1">
      <c r="C241" s="1877" t="s">
        <v>1590</v>
      </c>
      <c r="D241" s="1734"/>
      <c r="E241" s="1891" t="s">
        <v>1664</v>
      </c>
      <c r="G241" s="1893" t="s">
        <v>381</v>
      </c>
      <c r="I241" s="1893" t="s">
        <v>1684</v>
      </c>
      <c r="K241" s="1635"/>
      <c r="M241" s="1636" t="s">
        <v>1895</v>
      </c>
      <c r="O241" s="1895" t="s">
        <v>1686</v>
      </c>
      <c r="Q241" s="1636" t="s">
        <v>1994</v>
      </c>
    </row>
    <row r="242" spans="1:21" ht="25.5">
      <c r="C242" s="1878"/>
      <c r="D242" s="1734"/>
      <c r="E242" s="1892"/>
      <c r="F242" s="1637"/>
      <c r="G242" s="1894"/>
      <c r="H242" s="1637"/>
      <c r="I242" s="1894"/>
      <c r="J242" s="1637"/>
      <c r="K242" s="1638" t="s">
        <v>1687</v>
      </c>
      <c r="M242" s="1737" t="s">
        <v>1688</v>
      </c>
      <c r="O242" s="1896"/>
      <c r="Q242" s="1737" t="s">
        <v>1689</v>
      </c>
    </row>
    <row r="243" spans="1:21" ht="5.0999999999999996" customHeight="1"/>
    <row r="244" spans="1:21">
      <c r="A244" s="1639"/>
      <c r="B244" s="1639"/>
      <c r="C244" s="1554">
        <f>C235+1</f>
        <v>113</v>
      </c>
      <c r="D244" s="1639"/>
      <c r="E244" s="1640" t="s">
        <v>1690</v>
      </c>
      <c r="F244" s="1639"/>
      <c r="G244" s="1641"/>
      <c r="H244" s="1639"/>
      <c r="I244" s="1641"/>
      <c r="J244" s="1639"/>
      <c r="K244" s="1642"/>
      <c r="M244" s="1631"/>
      <c r="O244" s="1643"/>
      <c r="Q244" s="1639"/>
    </row>
    <row r="245" spans="1:21" ht="5.0999999999999996" customHeight="1">
      <c r="C245" s="1554"/>
    </row>
    <row r="246" spans="1:21">
      <c r="C246" s="1554">
        <f>C244+1</f>
        <v>114</v>
      </c>
      <c r="E246" s="1626" t="s">
        <v>1667</v>
      </c>
      <c r="G246" s="1644" t="s">
        <v>759</v>
      </c>
      <c r="I246" s="1641" t="s">
        <v>1691</v>
      </c>
      <c r="K246" s="1629">
        <f>56380</f>
        <v>56380</v>
      </c>
      <c r="L246" s="1628"/>
      <c r="M246" s="1629">
        <v>38761.25</v>
      </c>
      <c r="N246" s="1628"/>
      <c r="O246" s="1629">
        <v>-14095</v>
      </c>
      <c r="P246" s="1628"/>
      <c r="Q246" s="1629">
        <v>24666.25</v>
      </c>
      <c r="T246" s="1654"/>
      <c r="U246" s="1585"/>
    </row>
    <row r="247" spans="1:21">
      <c r="C247" s="1554">
        <f>C246+1</f>
        <v>115</v>
      </c>
      <c r="E247" s="1626" t="s">
        <v>1692</v>
      </c>
      <c r="G247" s="1644" t="s">
        <v>759</v>
      </c>
      <c r="I247" s="1641" t="s">
        <v>1691</v>
      </c>
      <c r="K247" s="1645">
        <v>0</v>
      </c>
      <c r="M247" s="1645">
        <v>0</v>
      </c>
      <c r="O247" s="1645">
        <v>0</v>
      </c>
      <c r="Q247" s="1630">
        <v>0</v>
      </c>
      <c r="T247" s="1654"/>
    </row>
    <row r="248" spans="1:21">
      <c r="C248" s="1554">
        <f>C247+1</f>
        <v>116</v>
      </c>
      <c r="E248" s="1626" t="s">
        <v>1668</v>
      </c>
      <c r="G248" s="1644" t="s">
        <v>759</v>
      </c>
      <c r="I248" s="1641" t="s">
        <v>1691</v>
      </c>
      <c r="K248" s="1645">
        <v>0</v>
      </c>
      <c r="M248" s="1645">
        <v>0</v>
      </c>
      <c r="O248" s="1645">
        <f>-K248/4</f>
        <v>0</v>
      </c>
      <c r="Q248" s="1630">
        <f>M248+O248</f>
        <v>0</v>
      </c>
      <c r="T248" s="1654"/>
    </row>
    <row r="249" spans="1:21">
      <c r="C249" s="1554">
        <f>C248+1</f>
        <v>117</v>
      </c>
      <c r="E249" s="1626" t="s">
        <v>1669</v>
      </c>
      <c r="G249" s="1644" t="s">
        <v>759</v>
      </c>
      <c r="I249" s="1641" t="s">
        <v>1691</v>
      </c>
      <c r="K249" s="1645">
        <v>0</v>
      </c>
      <c r="M249" s="1645">
        <v>0</v>
      </c>
      <c r="O249" s="1645">
        <f>-K249/4</f>
        <v>0</v>
      </c>
      <c r="Q249" s="1630">
        <f>M249+O249</f>
        <v>0</v>
      </c>
      <c r="T249" s="1654"/>
    </row>
    <row r="250" spans="1:21" ht="5.0999999999999996" customHeight="1">
      <c r="K250" s="1646"/>
      <c r="M250" s="1646"/>
      <c r="O250" s="1646"/>
      <c r="Q250" s="1646"/>
      <c r="T250" s="1654"/>
    </row>
    <row r="251" spans="1:21">
      <c r="C251" s="1554">
        <f>C249+1</f>
        <v>118</v>
      </c>
      <c r="E251" s="1551" t="s">
        <v>1693</v>
      </c>
      <c r="K251" s="1631">
        <f>SUM(K245:K250)</f>
        <v>56380</v>
      </c>
      <c r="L251" s="1631"/>
      <c r="M251" s="1631">
        <f>SUM(M245:M250)</f>
        <v>38761.25</v>
      </c>
      <c r="N251" s="1628"/>
      <c r="O251" s="1631">
        <f>SUM(O245:O250)</f>
        <v>-14095</v>
      </c>
      <c r="P251" s="1631"/>
      <c r="Q251" s="1631">
        <f>SUM(Q245:Q250)</f>
        <v>24666.25</v>
      </c>
      <c r="T251" s="1654"/>
    </row>
    <row r="252" spans="1:21">
      <c r="T252" s="1654"/>
    </row>
    <row r="253" spans="1:21">
      <c r="A253" s="1639"/>
      <c r="B253" s="1639"/>
      <c r="C253" s="1554">
        <f>C251+1</f>
        <v>119</v>
      </c>
      <c r="D253" s="1639"/>
      <c r="E253" s="1640" t="s">
        <v>1694</v>
      </c>
      <c r="F253" s="1639"/>
      <c r="G253" s="1641"/>
      <c r="H253" s="1639"/>
      <c r="I253" s="1641"/>
      <c r="J253" s="1639"/>
      <c r="K253" s="1642"/>
      <c r="M253" s="1631"/>
      <c r="O253" s="1643"/>
      <c r="Q253" s="1639"/>
      <c r="T253" s="1654"/>
    </row>
    <row r="254" spans="1:21" ht="5.0999999999999996" customHeight="1">
      <c r="T254" s="1654"/>
    </row>
    <row r="255" spans="1:21">
      <c r="C255" s="1554">
        <f>C253+1</f>
        <v>120</v>
      </c>
      <c r="E255" s="1626" t="s">
        <v>1667</v>
      </c>
      <c r="G255" s="1644" t="s">
        <v>759</v>
      </c>
      <c r="I255" s="1641" t="s">
        <v>1695</v>
      </c>
      <c r="K255" s="1629">
        <v>0</v>
      </c>
      <c r="L255" s="1628"/>
      <c r="M255" s="1629">
        <v>0</v>
      </c>
      <c r="N255" s="1631"/>
      <c r="O255" s="1629">
        <v>0</v>
      </c>
      <c r="P255" s="1631"/>
      <c r="Q255" s="1629">
        <f>M255+O255</f>
        <v>0</v>
      </c>
      <c r="T255" s="1654"/>
    </row>
    <row r="256" spans="1:21">
      <c r="C256" s="1554">
        <f>C255+1</f>
        <v>121</v>
      </c>
      <c r="E256" s="1626" t="s">
        <v>1692</v>
      </c>
      <c r="G256" s="1644" t="s">
        <v>759</v>
      </c>
      <c r="I256" s="1641" t="s">
        <v>1695</v>
      </c>
      <c r="K256" s="1645">
        <v>0</v>
      </c>
      <c r="M256" s="1645">
        <v>0</v>
      </c>
      <c r="O256" s="1645">
        <v>0</v>
      </c>
      <c r="Q256" s="1630">
        <f>M256+O256</f>
        <v>0</v>
      </c>
      <c r="T256" s="1654"/>
    </row>
    <row r="257" spans="1:21">
      <c r="C257" s="1554">
        <f>C256+1</f>
        <v>122</v>
      </c>
      <c r="E257" s="1626" t="s">
        <v>1668</v>
      </c>
      <c r="G257" s="1644" t="s">
        <v>759</v>
      </c>
      <c r="I257" s="1641" t="s">
        <v>1695</v>
      </c>
      <c r="K257" s="1645">
        <f>-630682</f>
        <v>-630682</v>
      </c>
      <c r="M257" s="1645">
        <v>-473011.5</v>
      </c>
      <c r="O257" s="1645">
        <v>126136.4</v>
      </c>
      <c r="Q257" s="1630">
        <v>-346875.1</v>
      </c>
      <c r="T257" s="1654"/>
      <c r="U257" s="1585"/>
    </row>
    <row r="258" spans="1:21">
      <c r="C258" s="1554">
        <f>C257+1</f>
        <v>123</v>
      </c>
      <c r="E258" s="1626" t="s">
        <v>1669</v>
      </c>
      <c r="G258" s="1644" t="s">
        <v>759</v>
      </c>
      <c r="I258" s="1641" t="s">
        <v>1695</v>
      </c>
      <c r="K258" s="1645">
        <v>0</v>
      </c>
      <c r="M258" s="1645">
        <v>0</v>
      </c>
      <c r="O258" s="1645">
        <v>0</v>
      </c>
      <c r="Q258" s="1630">
        <f>M258+O258</f>
        <v>0</v>
      </c>
    </row>
    <row r="259" spans="1:21" ht="5.0999999999999996" customHeight="1">
      <c r="K259" s="1646"/>
      <c r="M259" s="1646"/>
      <c r="O259" s="1646"/>
      <c r="Q259" s="1646"/>
    </row>
    <row r="260" spans="1:21">
      <c r="C260" s="1554">
        <f>C258+1</f>
        <v>124</v>
      </c>
      <c r="E260" s="1551" t="s">
        <v>1693</v>
      </c>
      <c r="K260" s="1631">
        <f>SUM(K254:K259)</f>
        <v>-630682</v>
      </c>
      <c r="L260" s="1628"/>
      <c r="M260" s="1631">
        <f>SUM(M254:M259)</f>
        <v>-473011.5</v>
      </c>
      <c r="N260" s="1631"/>
      <c r="O260" s="1631">
        <f>SUM(O254:O259)</f>
        <v>126136.4</v>
      </c>
      <c r="P260" s="1631"/>
      <c r="Q260" s="1631">
        <f>SUM(Q254:Q259)</f>
        <v>-346875.1</v>
      </c>
    </row>
    <row r="262" spans="1:21">
      <c r="A262" s="1639"/>
      <c r="B262" s="1639"/>
      <c r="C262" s="1554">
        <f>C260+1</f>
        <v>125</v>
      </c>
      <c r="D262" s="1639"/>
      <c r="E262" s="1640" t="s">
        <v>1696</v>
      </c>
      <c r="F262" s="1639"/>
      <c r="G262" s="1641"/>
      <c r="H262" s="1639"/>
      <c r="I262" s="1641"/>
      <c r="J262" s="1639"/>
      <c r="K262" s="1642"/>
      <c r="M262" s="1631"/>
      <c r="O262" s="1643"/>
      <c r="Q262" s="1639"/>
    </row>
    <row r="263" spans="1:21" ht="5.0999999999999996" customHeight="1"/>
    <row r="264" spans="1:21">
      <c r="C264" s="1554">
        <f>C262+1</f>
        <v>126</v>
      </c>
      <c r="E264" s="1626" t="s">
        <v>1667</v>
      </c>
      <c r="G264" s="1644" t="s">
        <v>759</v>
      </c>
      <c r="I264" s="1641" t="s">
        <v>1710</v>
      </c>
      <c r="K264" s="1629">
        <v>0</v>
      </c>
      <c r="M264" s="1645">
        <v>0</v>
      </c>
      <c r="O264" s="1645">
        <v>0</v>
      </c>
      <c r="Q264" s="1630">
        <f>M264+O264</f>
        <v>0</v>
      </c>
    </row>
    <row r="265" spans="1:21">
      <c r="C265" s="1554">
        <f>C264+1</f>
        <v>127</v>
      </c>
      <c r="E265" s="1626" t="s">
        <v>1692</v>
      </c>
      <c r="G265" s="1644" t="s">
        <v>759</v>
      </c>
      <c r="I265" s="1641" t="s">
        <v>1710</v>
      </c>
      <c r="K265" s="1645">
        <v>0</v>
      </c>
      <c r="M265" s="1645">
        <v>0</v>
      </c>
      <c r="O265" s="1645">
        <v>0</v>
      </c>
      <c r="Q265" s="1630">
        <f>M265+O265</f>
        <v>0</v>
      </c>
    </row>
    <row r="266" spans="1:21">
      <c r="C266" s="1554">
        <f>C265+1</f>
        <v>128</v>
      </c>
      <c r="E266" s="1626" t="s">
        <v>1668</v>
      </c>
      <c r="G266" s="1644" t="s">
        <v>759</v>
      </c>
      <c r="I266" s="1641" t="s">
        <v>1710</v>
      </c>
      <c r="K266" s="1645">
        <v>0</v>
      </c>
      <c r="M266" s="1645">
        <v>0</v>
      </c>
      <c r="O266" s="1645">
        <v>0</v>
      </c>
      <c r="Q266" s="1630">
        <f>M266+O266</f>
        <v>0</v>
      </c>
    </row>
    <row r="267" spans="1:21">
      <c r="C267" s="1554">
        <f>C266+1</f>
        <v>129</v>
      </c>
      <c r="E267" s="1626" t="s">
        <v>1669</v>
      </c>
      <c r="G267" s="1644" t="s">
        <v>759</v>
      </c>
      <c r="I267" s="1641" t="s">
        <v>1710</v>
      </c>
      <c r="K267" s="1645">
        <v>0</v>
      </c>
      <c r="M267" s="1645">
        <v>0</v>
      </c>
      <c r="O267" s="1645">
        <v>0</v>
      </c>
      <c r="Q267" s="1630">
        <f>M267+O267</f>
        <v>0</v>
      </c>
    </row>
    <row r="268" spans="1:21" ht="5.0999999999999996" customHeight="1">
      <c r="K268" s="1646"/>
      <c r="M268" s="1646"/>
      <c r="O268" s="1646"/>
      <c r="Q268" s="1646"/>
    </row>
    <row r="269" spans="1:21">
      <c r="C269" s="1554">
        <f>C267+1</f>
        <v>130</v>
      </c>
      <c r="E269" s="1551" t="s">
        <v>1693</v>
      </c>
      <c r="K269" s="1631">
        <f>SUM(K263:K268)</f>
        <v>0</v>
      </c>
      <c r="L269" s="1628"/>
      <c r="M269" s="1631">
        <f>SUM(M263:M268)</f>
        <v>0</v>
      </c>
      <c r="N269" s="1628"/>
      <c r="O269" s="1631">
        <f>SUM(O263:O268)</f>
        <v>0</v>
      </c>
      <c r="P269" s="1631"/>
      <c r="Q269" s="1631">
        <f>SUM(Q263:Q268)</f>
        <v>0</v>
      </c>
    </row>
    <row r="271" spans="1:21" ht="13.5" thickBot="1">
      <c r="C271" s="1554">
        <f>C269+1</f>
        <v>131</v>
      </c>
      <c r="E271" s="1551" t="s">
        <v>1698</v>
      </c>
      <c r="K271" s="1647">
        <f>K251+K260+K269</f>
        <v>-574302</v>
      </c>
      <c r="L271" s="1631"/>
      <c r="M271" s="1647">
        <f>M251+M260+M269</f>
        <v>-434250.25</v>
      </c>
      <c r="N271" s="1631"/>
      <c r="O271" s="1647">
        <f>O251+O260+O269</f>
        <v>112041.4</v>
      </c>
      <c r="P271" s="1631"/>
      <c r="Q271" s="1647">
        <f>Q251+Q260+Q269</f>
        <v>-322208.84999999998</v>
      </c>
    </row>
    <row r="274" spans="1:21" ht="15">
      <c r="E274" s="1888" t="s">
        <v>1714</v>
      </c>
      <c r="F274" s="1889"/>
      <c r="G274" s="1889"/>
      <c r="H274" s="1889"/>
      <c r="I274" s="1889"/>
      <c r="J274" s="1889"/>
      <c r="K274" s="1889"/>
      <c r="L274" s="1889"/>
      <c r="M274" s="1889"/>
      <c r="N274" s="1889"/>
      <c r="O274" s="1889"/>
      <c r="P274" s="1889"/>
      <c r="Q274" s="1890"/>
    </row>
    <row r="276" spans="1:21">
      <c r="E276" s="1552" t="s">
        <v>216</v>
      </c>
      <c r="F276" s="1552"/>
      <c r="G276" s="1552" t="s">
        <v>217</v>
      </c>
      <c r="H276" s="1552"/>
      <c r="I276" s="1552" t="s">
        <v>1296</v>
      </c>
      <c r="J276" s="1552"/>
      <c r="K276" s="1552" t="s">
        <v>1580</v>
      </c>
      <c r="L276" s="1552"/>
      <c r="M276" s="1552" t="s">
        <v>1683</v>
      </c>
      <c r="N276" s="1552"/>
      <c r="O276" s="1552" t="s">
        <v>1582</v>
      </c>
      <c r="P276" s="1552"/>
      <c r="Q276" s="1552" t="s">
        <v>1583</v>
      </c>
    </row>
    <row r="277" spans="1:21" ht="15" customHeight="1">
      <c r="C277" s="1877" t="s">
        <v>1590</v>
      </c>
      <c r="D277" s="1734"/>
      <c r="E277" s="1891" t="s">
        <v>1664</v>
      </c>
      <c r="G277" s="1893" t="s">
        <v>381</v>
      </c>
      <c r="I277" s="1893" t="s">
        <v>1684</v>
      </c>
      <c r="K277" s="1635"/>
      <c r="M277" s="1636" t="s">
        <v>1895</v>
      </c>
      <c r="O277" s="1895" t="s">
        <v>1686</v>
      </c>
      <c r="Q277" s="1636" t="s">
        <v>1994</v>
      </c>
    </row>
    <row r="278" spans="1:21" ht="25.5">
      <c r="C278" s="1878"/>
      <c r="D278" s="1734"/>
      <c r="E278" s="1892"/>
      <c r="F278" s="1637"/>
      <c r="G278" s="1894"/>
      <c r="H278" s="1637"/>
      <c r="I278" s="1894"/>
      <c r="J278" s="1637"/>
      <c r="K278" s="1638" t="s">
        <v>1687</v>
      </c>
      <c r="M278" s="1737" t="s">
        <v>1688</v>
      </c>
      <c r="O278" s="1896"/>
      <c r="Q278" s="1737" t="s">
        <v>1689</v>
      </c>
    </row>
    <row r="279" spans="1:21" ht="5.0999999999999996" customHeight="1"/>
    <row r="280" spans="1:21">
      <c r="A280" s="1639"/>
      <c r="B280" s="1639"/>
      <c r="C280" s="1554">
        <f>C271+1</f>
        <v>132</v>
      </c>
      <c r="D280" s="1639"/>
      <c r="E280" s="1640" t="s">
        <v>1690</v>
      </c>
      <c r="F280" s="1639"/>
      <c r="G280" s="1641"/>
      <c r="H280" s="1639"/>
      <c r="I280" s="1641"/>
      <c r="J280" s="1639"/>
      <c r="K280" s="1642"/>
      <c r="M280" s="1631"/>
      <c r="O280" s="1643"/>
      <c r="Q280" s="1639"/>
    </row>
    <row r="281" spans="1:21" ht="5.0999999999999996" customHeight="1">
      <c r="C281" s="1554"/>
    </row>
    <row r="282" spans="1:21">
      <c r="C282" s="1554">
        <f>C280+1</f>
        <v>133</v>
      </c>
      <c r="E282" s="1626" t="s">
        <v>1667</v>
      </c>
      <c r="G282" s="1644" t="s">
        <v>957</v>
      </c>
      <c r="I282" s="1641" t="s">
        <v>1691</v>
      </c>
      <c r="K282" s="1629">
        <f>-685034</f>
        <v>-685034</v>
      </c>
      <c r="L282" s="1628"/>
      <c r="M282" s="1629">
        <v>-470960.875</v>
      </c>
      <c r="N282" s="1628"/>
      <c r="O282" s="1629">
        <v>171258.5</v>
      </c>
      <c r="P282" s="1628"/>
      <c r="Q282" s="1629">
        <f>M282+O282</f>
        <v>-299702.375</v>
      </c>
      <c r="T282" s="1654"/>
      <c r="U282" s="1585"/>
    </row>
    <row r="283" spans="1:21">
      <c r="C283" s="1554">
        <f>C282+1</f>
        <v>134</v>
      </c>
      <c r="E283" s="1626" t="s">
        <v>1692</v>
      </c>
      <c r="G283" s="1644" t="s">
        <v>957</v>
      </c>
      <c r="I283" s="1641" t="s">
        <v>1691</v>
      </c>
      <c r="K283" s="1645">
        <v>0</v>
      </c>
      <c r="M283" s="1645">
        <v>0</v>
      </c>
      <c r="O283" s="1645">
        <f>-K283/4</f>
        <v>0</v>
      </c>
      <c r="Q283" s="1630">
        <f>M283+O283</f>
        <v>0</v>
      </c>
      <c r="T283" s="1654"/>
    </row>
    <row r="284" spans="1:21">
      <c r="C284" s="1554">
        <f>C283+1</f>
        <v>135</v>
      </c>
      <c r="E284" s="1626" t="s">
        <v>1668</v>
      </c>
      <c r="G284" s="1644" t="s">
        <v>957</v>
      </c>
      <c r="I284" s="1641" t="s">
        <v>1691</v>
      </c>
      <c r="K284" s="1645">
        <v>0</v>
      </c>
      <c r="M284" s="1645">
        <v>0</v>
      </c>
      <c r="O284" s="1645">
        <f>-K284/4</f>
        <v>0</v>
      </c>
      <c r="Q284" s="1630">
        <f>M284+O284</f>
        <v>0</v>
      </c>
      <c r="T284" s="1654"/>
    </row>
    <row r="285" spans="1:21">
      <c r="C285" s="1554">
        <f>C284+1</f>
        <v>136</v>
      </c>
      <c r="E285" s="1626" t="s">
        <v>1669</v>
      </c>
      <c r="G285" s="1644" t="s">
        <v>957</v>
      </c>
      <c r="I285" s="1641" t="s">
        <v>1691</v>
      </c>
      <c r="K285" s="1645">
        <v>0</v>
      </c>
      <c r="M285" s="1645">
        <v>0</v>
      </c>
      <c r="O285" s="1645">
        <f>-K285/4</f>
        <v>0</v>
      </c>
      <c r="Q285" s="1630">
        <f>M285+O285</f>
        <v>0</v>
      </c>
      <c r="T285" s="1654"/>
    </row>
    <row r="286" spans="1:21" ht="5.0999999999999996" customHeight="1">
      <c r="K286" s="1646"/>
      <c r="M286" s="1646"/>
      <c r="O286" s="1646"/>
      <c r="Q286" s="1646"/>
      <c r="T286" s="1654"/>
    </row>
    <row r="287" spans="1:21">
      <c r="C287" s="1554">
        <f>C285+1</f>
        <v>137</v>
      </c>
      <c r="E287" s="1551" t="s">
        <v>1693</v>
      </c>
      <c r="K287" s="1631">
        <f>SUM(K281:K286)</f>
        <v>-685034</v>
      </c>
      <c r="L287" s="1631"/>
      <c r="M287" s="1631">
        <f>SUM(M281:M286)</f>
        <v>-470960.875</v>
      </c>
      <c r="N287" s="1628"/>
      <c r="O287" s="1631">
        <f>SUM(O281:O286)</f>
        <v>171258.5</v>
      </c>
      <c r="P287" s="1631"/>
      <c r="Q287" s="1631">
        <f>SUM(Q281:Q286)</f>
        <v>-299702.375</v>
      </c>
      <c r="T287" s="1654"/>
    </row>
    <row r="288" spans="1:21">
      <c r="T288" s="1654"/>
    </row>
    <row r="289" spans="1:21">
      <c r="A289" s="1639"/>
      <c r="B289" s="1639"/>
      <c r="C289" s="1554">
        <f>C287+1</f>
        <v>138</v>
      </c>
      <c r="D289" s="1639"/>
      <c r="E289" s="1640" t="s">
        <v>1694</v>
      </c>
      <c r="F289" s="1639"/>
      <c r="G289" s="1641"/>
      <c r="H289" s="1639"/>
      <c r="I289" s="1641"/>
      <c r="J289" s="1639"/>
      <c r="K289" s="1642"/>
      <c r="M289" s="1631"/>
      <c r="O289" s="1643"/>
      <c r="Q289" s="1639"/>
      <c r="T289" s="1654"/>
    </row>
    <row r="290" spans="1:21" ht="5.0999999999999996" customHeight="1">
      <c r="T290" s="1654"/>
    </row>
    <row r="291" spans="1:21">
      <c r="C291" s="1554">
        <f>C289+1</f>
        <v>139</v>
      </c>
      <c r="E291" s="1626" t="s">
        <v>1667</v>
      </c>
      <c r="G291" s="1644" t="s">
        <v>957</v>
      </c>
      <c r="I291" s="1641" t="s">
        <v>1695</v>
      </c>
      <c r="K291" s="1629">
        <v>0</v>
      </c>
      <c r="L291" s="1628"/>
      <c r="M291" s="1629">
        <v>0</v>
      </c>
      <c r="N291" s="1631"/>
      <c r="O291" s="1629">
        <v>0</v>
      </c>
      <c r="P291" s="1631"/>
      <c r="Q291" s="1629">
        <f>M291+O291</f>
        <v>0</v>
      </c>
      <c r="T291" s="1654"/>
    </row>
    <row r="292" spans="1:21">
      <c r="C292" s="1554">
        <f>C291+1</f>
        <v>140</v>
      </c>
      <c r="E292" s="1626" t="s">
        <v>1692</v>
      </c>
      <c r="G292" s="1644" t="s">
        <v>957</v>
      </c>
      <c r="I292" s="1641" t="s">
        <v>1695</v>
      </c>
      <c r="K292" s="1645">
        <v>0</v>
      </c>
      <c r="M292" s="1645">
        <v>0</v>
      </c>
      <c r="O292" s="1645">
        <v>0</v>
      </c>
      <c r="Q292" s="1630">
        <f>M292+O292</f>
        <v>0</v>
      </c>
      <c r="T292" s="1654"/>
    </row>
    <row r="293" spans="1:21">
      <c r="C293" s="1554">
        <f>C292+1</f>
        <v>141</v>
      </c>
      <c r="E293" s="1626" t="s">
        <v>1668</v>
      </c>
      <c r="G293" s="1644" t="s">
        <v>957</v>
      </c>
      <c r="I293" s="1641" t="s">
        <v>1695</v>
      </c>
      <c r="K293" s="1645">
        <f>-2817585</f>
        <v>-2817585</v>
      </c>
      <c r="M293" s="1645">
        <v>-2113188.75</v>
      </c>
      <c r="O293" s="1645">
        <v>563517</v>
      </c>
      <c r="Q293" s="1630">
        <f>M293+O293</f>
        <v>-1549671.75</v>
      </c>
      <c r="T293" s="1654"/>
      <c r="U293" s="1585"/>
    </row>
    <row r="294" spans="1:21">
      <c r="C294" s="1554">
        <f>C293+1</f>
        <v>142</v>
      </c>
      <c r="E294" s="1626" t="s">
        <v>1669</v>
      </c>
      <c r="G294" s="1644" t="s">
        <v>957</v>
      </c>
      <c r="I294" s="1641" t="s">
        <v>1695</v>
      </c>
      <c r="K294" s="1645">
        <v>0</v>
      </c>
      <c r="M294" s="1645">
        <v>0</v>
      </c>
      <c r="O294" s="1645">
        <v>0</v>
      </c>
      <c r="Q294" s="1630">
        <f>M294+O294</f>
        <v>0</v>
      </c>
    </row>
    <row r="295" spans="1:21" ht="5.0999999999999996" customHeight="1">
      <c r="K295" s="1646"/>
      <c r="M295" s="1646"/>
      <c r="O295" s="1646"/>
      <c r="Q295" s="1646"/>
    </row>
    <row r="296" spans="1:21">
      <c r="C296" s="1554">
        <f>C294+1</f>
        <v>143</v>
      </c>
      <c r="E296" s="1551" t="s">
        <v>1693</v>
      </c>
      <c r="K296" s="1631">
        <f>SUM(K290:K295)</f>
        <v>-2817585</v>
      </c>
      <c r="L296" s="1628"/>
      <c r="M296" s="1631">
        <f>SUM(M290:M295)</f>
        <v>-2113188.75</v>
      </c>
      <c r="N296" s="1631"/>
      <c r="O296" s="1631">
        <f>SUM(O290:O295)</f>
        <v>563517</v>
      </c>
      <c r="P296" s="1631"/>
      <c r="Q296" s="1631">
        <f>SUM(Q290:Q295)</f>
        <v>-1549671.75</v>
      </c>
    </row>
    <row r="298" spans="1:21">
      <c r="A298" s="1639"/>
      <c r="B298" s="1639"/>
      <c r="C298" s="1554">
        <f>C296+1</f>
        <v>144</v>
      </c>
      <c r="D298" s="1639"/>
      <c r="E298" s="1640" t="s">
        <v>1696</v>
      </c>
      <c r="F298" s="1639"/>
      <c r="G298" s="1641"/>
      <c r="H298" s="1639"/>
      <c r="I298" s="1641"/>
      <c r="J298" s="1639"/>
      <c r="K298" s="1642"/>
      <c r="M298" s="1631"/>
      <c r="O298" s="1643"/>
      <c r="Q298" s="1639"/>
    </row>
    <row r="299" spans="1:21" ht="5.0999999999999996" customHeight="1"/>
    <row r="300" spans="1:21">
      <c r="C300" s="1554">
        <f>C298+1</f>
        <v>145</v>
      </c>
      <c r="E300" s="1626" t="s">
        <v>1667</v>
      </c>
      <c r="G300" s="1644" t="s">
        <v>957</v>
      </c>
      <c r="I300" s="1641" t="s">
        <v>1710</v>
      </c>
      <c r="K300" s="1629">
        <v>0</v>
      </c>
      <c r="M300" s="1629">
        <v>0</v>
      </c>
      <c r="N300" s="1631"/>
      <c r="O300" s="1629">
        <v>0</v>
      </c>
      <c r="P300" s="1631"/>
      <c r="Q300" s="1629">
        <f>M300+O300</f>
        <v>0</v>
      </c>
    </row>
    <row r="301" spans="1:21">
      <c r="C301" s="1554">
        <f>C300+1</f>
        <v>146</v>
      </c>
      <c r="E301" s="1626" t="s">
        <v>1692</v>
      </c>
      <c r="G301" s="1644" t="s">
        <v>957</v>
      </c>
      <c r="I301" s="1641" t="s">
        <v>1710</v>
      </c>
      <c r="K301" s="1645">
        <v>0</v>
      </c>
      <c r="M301" s="1645">
        <v>0</v>
      </c>
      <c r="O301" s="1645">
        <v>0</v>
      </c>
      <c r="Q301" s="1630">
        <f>M301+O301</f>
        <v>0</v>
      </c>
    </row>
    <row r="302" spans="1:21">
      <c r="C302" s="1554">
        <f>C301+1</f>
        <v>147</v>
      </c>
      <c r="E302" s="1626" t="s">
        <v>1668</v>
      </c>
      <c r="G302" s="1644" t="s">
        <v>957</v>
      </c>
      <c r="I302" s="1641" t="s">
        <v>1710</v>
      </c>
      <c r="K302" s="1645">
        <v>0</v>
      </c>
      <c r="M302" s="1645">
        <v>0</v>
      </c>
      <c r="O302" s="1645">
        <v>0</v>
      </c>
      <c r="Q302" s="1630">
        <f>M302+O302</f>
        <v>0</v>
      </c>
    </row>
    <row r="303" spans="1:21">
      <c r="C303" s="1554">
        <f>C302+1</f>
        <v>148</v>
      </c>
      <c r="E303" s="1626" t="s">
        <v>1669</v>
      </c>
      <c r="G303" s="1644" t="s">
        <v>957</v>
      </c>
      <c r="I303" s="1641" t="s">
        <v>1710</v>
      </c>
      <c r="K303" s="1645">
        <v>0</v>
      </c>
      <c r="M303" s="1645">
        <v>0</v>
      </c>
      <c r="O303" s="1645">
        <v>0</v>
      </c>
      <c r="Q303" s="1630">
        <f>M303+O303</f>
        <v>0</v>
      </c>
    </row>
    <row r="304" spans="1:21" ht="5.0999999999999996" customHeight="1">
      <c r="K304" s="1646"/>
      <c r="M304" s="1646"/>
      <c r="O304" s="1646"/>
      <c r="Q304" s="1646"/>
    </row>
    <row r="305" spans="1:17">
      <c r="C305" s="1554">
        <f>C303+1</f>
        <v>149</v>
      </c>
      <c r="E305" s="1551" t="s">
        <v>1693</v>
      </c>
      <c r="K305" s="1631">
        <f>SUM(K299:K304)</f>
        <v>0</v>
      </c>
      <c r="L305" s="1628"/>
      <c r="M305" s="1631">
        <f>SUM(M299:M304)</f>
        <v>0</v>
      </c>
      <c r="N305" s="1628"/>
      <c r="O305" s="1631">
        <f>SUM(O299:O304)</f>
        <v>0</v>
      </c>
      <c r="P305" s="1631"/>
      <c r="Q305" s="1631">
        <f>SUM(Q299:Q304)</f>
        <v>0</v>
      </c>
    </row>
    <row r="307" spans="1:17" ht="13.5" thickBot="1">
      <c r="C307" s="1554">
        <f>C305+1</f>
        <v>150</v>
      </c>
      <c r="E307" s="1551" t="s">
        <v>1698</v>
      </c>
      <c r="K307" s="1647">
        <f>K287+K296+K305</f>
        <v>-3502619</v>
      </c>
      <c r="L307" s="1631"/>
      <c r="M307" s="1647">
        <f>M287+M296+M305</f>
        <v>-2584149.625</v>
      </c>
      <c r="N307" s="1631"/>
      <c r="O307" s="1647">
        <f>O287+O296+O305</f>
        <v>734775.5</v>
      </c>
      <c r="P307" s="1631"/>
      <c r="Q307" s="1647">
        <f>Q287+Q296+Q305</f>
        <v>-1849374.125</v>
      </c>
    </row>
    <row r="310" spans="1:17" ht="15">
      <c r="E310" s="1888" t="s">
        <v>1715</v>
      </c>
      <c r="F310" s="1889"/>
      <c r="G310" s="1889"/>
      <c r="H310" s="1889"/>
      <c r="I310" s="1889"/>
      <c r="J310" s="1889"/>
      <c r="K310" s="1889"/>
      <c r="L310" s="1889"/>
      <c r="M310" s="1889"/>
      <c r="N310" s="1889"/>
      <c r="O310" s="1889"/>
      <c r="P310" s="1889"/>
      <c r="Q310" s="1890"/>
    </row>
    <row r="312" spans="1:17">
      <c r="E312" s="1552" t="s">
        <v>216</v>
      </c>
      <c r="F312" s="1552"/>
      <c r="G312" s="1552" t="s">
        <v>217</v>
      </c>
      <c r="H312" s="1552"/>
      <c r="I312" s="1552" t="s">
        <v>1296</v>
      </c>
      <c r="J312" s="1552"/>
      <c r="K312" s="1552" t="s">
        <v>1580</v>
      </c>
      <c r="L312" s="1552"/>
      <c r="M312" s="1552" t="s">
        <v>1683</v>
      </c>
      <c r="N312" s="1552"/>
      <c r="O312" s="1552" t="s">
        <v>1582</v>
      </c>
      <c r="P312" s="1552"/>
      <c r="Q312" s="1552" t="s">
        <v>1583</v>
      </c>
    </row>
    <row r="313" spans="1:17" ht="15" customHeight="1">
      <c r="C313" s="1877" t="s">
        <v>1590</v>
      </c>
      <c r="D313" s="1734"/>
      <c r="E313" s="1891" t="s">
        <v>1664</v>
      </c>
      <c r="G313" s="1893" t="s">
        <v>381</v>
      </c>
      <c r="I313" s="1893" t="s">
        <v>1684</v>
      </c>
      <c r="K313" s="1635"/>
      <c r="M313" s="1636" t="s">
        <v>1895</v>
      </c>
      <c r="O313" s="1895" t="s">
        <v>1686</v>
      </c>
      <c r="Q313" s="1636" t="s">
        <v>1994</v>
      </c>
    </row>
    <row r="314" spans="1:17" ht="25.5">
      <c r="C314" s="1878"/>
      <c r="D314" s="1734"/>
      <c r="E314" s="1892"/>
      <c r="F314" s="1637"/>
      <c r="G314" s="1894"/>
      <c r="H314" s="1637"/>
      <c r="I314" s="1894"/>
      <c r="J314" s="1637"/>
      <c r="K314" s="1638" t="s">
        <v>1687</v>
      </c>
      <c r="M314" s="1737" t="s">
        <v>1688</v>
      </c>
      <c r="O314" s="1896"/>
      <c r="Q314" s="1737" t="s">
        <v>1689</v>
      </c>
    </row>
    <row r="315" spans="1:17" ht="5.0999999999999996" customHeight="1"/>
    <row r="316" spans="1:17">
      <c r="A316" s="1639"/>
      <c r="B316" s="1639"/>
      <c r="C316" s="1554">
        <f>C307+1</f>
        <v>151</v>
      </c>
      <c r="D316" s="1639"/>
      <c r="E316" s="1640" t="s">
        <v>1690</v>
      </c>
      <c r="F316" s="1639"/>
      <c r="G316" s="1641"/>
      <c r="H316" s="1639"/>
      <c r="I316" s="1641"/>
      <c r="J316" s="1639"/>
      <c r="K316" s="1642"/>
      <c r="M316" s="1631"/>
      <c r="O316" s="1643"/>
      <c r="Q316" s="1639"/>
    </row>
    <row r="317" spans="1:17" ht="5.0999999999999996" customHeight="1">
      <c r="C317" s="1554"/>
    </row>
    <row r="318" spans="1:17">
      <c r="C318" s="1554">
        <f>C316+1</f>
        <v>152</v>
      </c>
      <c r="E318" s="1626" t="s">
        <v>1667</v>
      </c>
      <c r="G318" s="1644" t="s">
        <v>1716</v>
      </c>
      <c r="I318" s="1641" t="s">
        <v>1691</v>
      </c>
      <c r="K318" s="1629">
        <v>0</v>
      </c>
      <c r="L318" s="1628"/>
      <c r="M318" s="1629">
        <v>0</v>
      </c>
      <c r="N318" s="1628"/>
      <c r="O318" s="1629">
        <f>-K318/4*(3/12)</f>
        <v>0</v>
      </c>
      <c r="P318" s="1628"/>
      <c r="Q318" s="1629">
        <f>M318+O318</f>
        <v>0</v>
      </c>
    </row>
    <row r="319" spans="1:17">
      <c r="C319" s="1554">
        <f>C318+1</f>
        <v>153</v>
      </c>
      <c r="E319" s="1626" t="s">
        <v>1692</v>
      </c>
      <c r="G319" s="1644" t="s">
        <v>1716</v>
      </c>
      <c r="I319" s="1641" t="s">
        <v>1691</v>
      </c>
      <c r="K319" s="1645">
        <v>0</v>
      </c>
      <c r="M319" s="1645">
        <v>0</v>
      </c>
      <c r="O319" s="1645">
        <f>-K319/4</f>
        <v>0</v>
      </c>
      <c r="Q319" s="1630">
        <f>M319+O319</f>
        <v>0</v>
      </c>
    </row>
    <row r="320" spans="1:17">
      <c r="C320" s="1554">
        <f>C319+1</f>
        <v>154</v>
      </c>
      <c r="E320" s="1626" t="s">
        <v>1668</v>
      </c>
      <c r="G320" s="1644" t="s">
        <v>1716</v>
      </c>
      <c r="I320" s="1641" t="s">
        <v>1691</v>
      </c>
      <c r="K320" s="1645">
        <v>0</v>
      </c>
      <c r="M320" s="1645">
        <v>0</v>
      </c>
      <c r="O320" s="1645">
        <f>-K320/4</f>
        <v>0</v>
      </c>
      <c r="Q320" s="1630">
        <f>M320+O320</f>
        <v>0</v>
      </c>
    </row>
    <row r="321" spans="1:17">
      <c r="C321" s="1554">
        <f>C320+1</f>
        <v>155</v>
      </c>
      <c r="E321" s="1626" t="s">
        <v>1669</v>
      </c>
      <c r="G321" s="1644" t="s">
        <v>1716</v>
      </c>
      <c r="I321" s="1641" t="s">
        <v>1691</v>
      </c>
      <c r="K321" s="1645">
        <v>0</v>
      </c>
      <c r="M321" s="1645">
        <v>0</v>
      </c>
      <c r="O321" s="1645">
        <f>-K321/4</f>
        <v>0</v>
      </c>
      <c r="Q321" s="1630">
        <f>M321+O321</f>
        <v>0</v>
      </c>
    </row>
    <row r="322" spans="1:17" ht="5.0999999999999996" customHeight="1">
      <c r="K322" s="1646"/>
      <c r="M322" s="1646"/>
      <c r="O322" s="1646"/>
      <c r="Q322" s="1646"/>
    </row>
    <row r="323" spans="1:17">
      <c r="C323" s="1554">
        <f>C321+1</f>
        <v>156</v>
      </c>
      <c r="E323" s="1551" t="s">
        <v>1693</v>
      </c>
      <c r="K323" s="1631">
        <f>SUM(K317:K322)</f>
        <v>0</v>
      </c>
      <c r="L323" s="1631"/>
      <c r="M323" s="1631">
        <f>SUM(M317:M322)</f>
        <v>0</v>
      </c>
      <c r="N323" s="1628"/>
      <c r="O323" s="1631">
        <f>SUM(O317:O322)</f>
        <v>0</v>
      </c>
      <c r="P323" s="1631"/>
      <c r="Q323" s="1631">
        <f>SUM(Q317:Q322)</f>
        <v>0</v>
      </c>
    </row>
    <row r="325" spans="1:17">
      <c r="A325" s="1639"/>
      <c r="B325" s="1639"/>
      <c r="C325" s="1554">
        <f>C323+1</f>
        <v>157</v>
      </c>
      <c r="D325" s="1639"/>
      <c r="E325" s="1640" t="s">
        <v>1694</v>
      </c>
      <c r="F325" s="1639"/>
      <c r="G325" s="1641"/>
      <c r="H325" s="1639"/>
      <c r="I325" s="1641"/>
      <c r="J325" s="1639"/>
      <c r="K325" s="1642"/>
      <c r="M325" s="1631"/>
      <c r="O325" s="1643"/>
      <c r="Q325" s="1639"/>
    </row>
    <row r="326" spans="1:17" ht="5.0999999999999996" customHeight="1"/>
    <row r="327" spans="1:17">
      <c r="C327" s="1554">
        <f>C325+1</f>
        <v>158</v>
      </c>
      <c r="E327" s="1626" t="s">
        <v>1667</v>
      </c>
      <c r="G327" s="1644" t="s">
        <v>1716</v>
      </c>
      <c r="I327" s="1641" t="s">
        <v>1695</v>
      </c>
      <c r="K327" s="1629">
        <v>0</v>
      </c>
      <c r="L327" s="1628"/>
      <c r="M327" s="1629">
        <v>0</v>
      </c>
      <c r="N327" s="1631"/>
      <c r="O327" s="1629">
        <v>0</v>
      </c>
      <c r="P327" s="1631"/>
      <c r="Q327" s="1629">
        <f>M327+O327</f>
        <v>0</v>
      </c>
    </row>
    <row r="328" spans="1:17">
      <c r="C328" s="1554">
        <f>C327+1</f>
        <v>159</v>
      </c>
      <c r="E328" s="1626" t="s">
        <v>1692</v>
      </c>
      <c r="G328" s="1644" t="s">
        <v>1716</v>
      </c>
      <c r="I328" s="1641" t="s">
        <v>1695</v>
      </c>
      <c r="K328" s="1645">
        <v>0</v>
      </c>
      <c r="M328" s="1645">
        <v>0</v>
      </c>
      <c r="O328" s="1645">
        <v>0</v>
      </c>
      <c r="Q328" s="1630">
        <f>M328+O328</f>
        <v>0</v>
      </c>
    </row>
    <row r="329" spans="1:17">
      <c r="C329" s="1554">
        <f>C328+1</f>
        <v>160</v>
      </c>
      <c r="E329" s="1626" t="s">
        <v>1668</v>
      </c>
      <c r="G329" s="1644" t="s">
        <v>1716</v>
      </c>
      <c r="I329" s="1641" t="s">
        <v>1695</v>
      </c>
      <c r="K329" s="1645">
        <f>58414</f>
        <v>58414</v>
      </c>
      <c r="M329" s="1645">
        <v>43810.5</v>
      </c>
      <c r="O329" s="1645">
        <v>-11682.8</v>
      </c>
      <c r="Q329" s="1630">
        <f>M329+O329</f>
        <v>32127.7</v>
      </c>
    </row>
    <row r="330" spans="1:17">
      <c r="C330" s="1554">
        <f>C329+1</f>
        <v>161</v>
      </c>
      <c r="E330" s="1626" t="s">
        <v>1669</v>
      </c>
      <c r="G330" s="1644" t="s">
        <v>1716</v>
      </c>
      <c r="I330" s="1641" t="s">
        <v>1695</v>
      </c>
      <c r="K330" s="1645">
        <v>0</v>
      </c>
      <c r="M330" s="1645">
        <v>0</v>
      </c>
      <c r="O330" s="1645">
        <v>0</v>
      </c>
      <c r="Q330" s="1630">
        <f>M330+O330</f>
        <v>0</v>
      </c>
    </row>
    <row r="331" spans="1:17" ht="5.0999999999999996" customHeight="1">
      <c r="K331" s="1646"/>
      <c r="M331" s="1646"/>
      <c r="O331" s="1646"/>
      <c r="Q331" s="1646"/>
    </row>
    <row r="332" spans="1:17">
      <c r="C332" s="1554">
        <f>C330+1</f>
        <v>162</v>
      </c>
      <c r="E332" s="1551" t="s">
        <v>1693</v>
      </c>
      <c r="K332" s="1631">
        <f>SUM(K326:K331)</f>
        <v>58414</v>
      </c>
      <c r="L332" s="1628"/>
      <c r="M332" s="1631">
        <f>SUM(M326:M331)</f>
        <v>43810.5</v>
      </c>
      <c r="N332" s="1631"/>
      <c r="O332" s="1631">
        <f>SUM(O326:O331)</f>
        <v>-11682.8</v>
      </c>
      <c r="P332" s="1631"/>
      <c r="Q332" s="1631">
        <f>SUM(Q326:Q331)</f>
        <v>32127.7</v>
      </c>
    </row>
    <row r="334" spans="1:17">
      <c r="A334" s="1639"/>
      <c r="B334" s="1639"/>
      <c r="C334" s="1554">
        <f>C332+1</f>
        <v>163</v>
      </c>
      <c r="D334" s="1639"/>
      <c r="E334" s="1640" t="s">
        <v>1696</v>
      </c>
      <c r="F334" s="1639"/>
      <c r="G334" s="1641"/>
      <c r="H334" s="1639"/>
      <c r="I334" s="1641"/>
      <c r="J334" s="1639"/>
      <c r="K334" s="1642"/>
      <c r="M334" s="1631"/>
      <c r="O334" s="1643"/>
      <c r="Q334" s="1639"/>
    </row>
    <row r="335" spans="1:17" ht="5.0999999999999996" customHeight="1"/>
    <row r="336" spans="1:17">
      <c r="C336" s="1554">
        <f>C334+1</f>
        <v>164</v>
      </c>
      <c r="E336" s="1626" t="s">
        <v>1667</v>
      </c>
      <c r="G336" s="1644" t="s">
        <v>1716</v>
      </c>
      <c r="I336" s="1641" t="s">
        <v>1710</v>
      </c>
      <c r="K336" s="1629">
        <v>0</v>
      </c>
      <c r="M336" s="1629">
        <v>0</v>
      </c>
      <c r="N336" s="1631"/>
      <c r="O336" s="1629">
        <v>0</v>
      </c>
      <c r="P336" s="1631"/>
      <c r="Q336" s="1629">
        <f>M336+O336</f>
        <v>0</v>
      </c>
    </row>
    <row r="337" spans="1:17">
      <c r="C337" s="1554">
        <f>C336+1</f>
        <v>165</v>
      </c>
      <c r="E337" s="1626" t="s">
        <v>1692</v>
      </c>
      <c r="G337" s="1644" t="s">
        <v>1716</v>
      </c>
      <c r="I337" s="1641" t="s">
        <v>1710</v>
      </c>
      <c r="K337" s="1645">
        <v>0</v>
      </c>
      <c r="M337" s="1645">
        <v>0</v>
      </c>
      <c r="O337" s="1645">
        <v>0</v>
      </c>
      <c r="Q337" s="1630">
        <f>M337+O337</f>
        <v>0</v>
      </c>
    </row>
    <row r="338" spans="1:17">
      <c r="C338" s="1554">
        <f>C337+1</f>
        <v>166</v>
      </c>
      <c r="E338" s="1626" t="s">
        <v>1668</v>
      </c>
      <c r="G338" s="1644" t="s">
        <v>1716</v>
      </c>
      <c r="I338" s="1641" t="s">
        <v>1710</v>
      </c>
      <c r="K338" s="1645">
        <v>0</v>
      </c>
      <c r="M338" s="1645">
        <v>0</v>
      </c>
      <c r="O338" s="1645">
        <v>0</v>
      </c>
      <c r="Q338" s="1630">
        <f>M338+O338</f>
        <v>0</v>
      </c>
    </row>
    <row r="339" spans="1:17">
      <c r="C339" s="1554">
        <f>C338+1</f>
        <v>167</v>
      </c>
      <c r="E339" s="1626" t="s">
        <v>1669</v>
      </c>
      <c r="G339" s="1644" t="s">
        <v>1716</v>
      </c>
      <c r="I339" s="1641" t="s">
        <v>1710</v>
      </c>
      <c r="K339" s="1645">
        <v>0</v>
      </c>
      <c r="M339" s="1645">
        <v>0</v>
      </c>
      <c r="O339" s="1645">
        <v>0</v>
      </c>
      <c r="Q339" s="1630">
        <f>M339+O339</f>
        <v>0</v>
      </c>
    </row>
    <row r="340" spans="1:17" ht="5.0999999999999996" customHeight="1">
      <c r="K340" s="1646"/>
      <c r="M340" s="1646"/>
      <c r="O340" s="1646"/>
      <c r="Q340" s="1646"/>
    </row>
    <row r="341" spans="1:17">
      <c r="C341" s="1554">
        <f>C339+1</f>
        <v>168</v>
      </c>
      <c r="E341" s="1551" t="s">
        <v>1693</v>
      </c>
      <c r="K341" s="1631">
        <f>SUM(K335:K340)</f>
        <v>0</v>
      </c>
      <c r="L341" s="1628"/>
      <c r="M341" s="1631">
        <f>SUM(M335:M340)</f>
        <v>0</v>
      </c>
      <c r="N341" s="1628"/>
      <c r="O341" s="1631">
        <f>SUM(O335:O340)</f>
        <v>0</v>
      </c>
      <c r="P341" s="1631"/>
      <c r="Q341" s="1631">
        <f>SUM(Q335:Q340)</f>
        <v>0</v>
      </c>
    </row>
    <row r="343" spans="1:17" ht="13.5" thickBot="1">
      <c r="C343" s="1554">
        <f>C341+1</f>
        <v>169</v>
      </c>
      <c r="E343" s="1551" t="s">
        <v>1698</v>
      </c>
      <c r="K343" s="1647">
        <f>K323+K332+K341</f>
        <v>58414</v>
      </c>
      <c r="L343" s="1631"/>
      <c r="M343" s="1647">
        <f>M323+M332+M341</f>
        <v>43810.5</v>
      </c>
      <c r="N343" s="1631"/>
      <c r="O343" s="1647">
        <f>O323+O332+O341</f>
        <v>-11682.8</v>
      </c>
      <c r="P343" s="1631"/>
      <c r="Q343" s="1647">
        <f>Q323+Q332+Q341</f>
        <v>32127.7</v>
      </c>
    </row>
    <row r="346" spans="1:17" ht="15.75" customHeight="1">
      <c r="C346" s="1888" t="s">
        <v>1717</v>
      </c>
      <c r="D346" s="1889"/>
      <c r="E346" s="1889"/>
      <c r="F346" s="1889"/>
      <c r="G346" s="1889"/>
      <c r="H346" s="1889"/>
      <c r="I346" s="1889"/>
      <c r="J346" s="1889"/>
      <c r="K346" s="1889"/>
      <c r="L346" s="1889"/>
      <c r="M346" s="1889"/>
      <c r="N346" s="1889"/>
      <c r="O346" s="1889"/>
      <c r="P346" s="1889"/>
      <c r="Q346" s="1890"/>
    </row>
    <row r="348" spans="1:17">
      <c r="E348" s="1552" t="s">
        <v>216</v>
      </c>
      <c r="F348" s="1552"/>
      <c r="G348" s="1552" t="s">
        <v>217</v>
      </c>
      <c r="H348" s="1552"/>
      <c r="I348" s="1552" t="s">
        <v>1296</v>
      </c>
      <c r="J348" s="1552"/>
      <c r="K348" s="1552" t="s">
        <v>1580</v>
      </c>
      <c r="L348" s="1552"/>
      <c r="M348" s="1552" t="s">
        <v>1683</v>
      </c>
      <c r="N348" s="1552"/>
      <c r="O348" s="1552" t="s">
        <v>1582</v>
      </c>
      <c r="P348" s="1552"/>
      <c r="Q348" s="1552" t="s">
        <v>1583</v>
      </c>
    </row>
    <row r="349" spans="1:17" ht="15" customHeight="1">
      <c r="C349" s="1877" t="s">
        <v>1590</v>
      </c>
      <c r="D349" s="1734"/>
      <c r="E349" s="1891" t="s">
        <v>1664</v>
      </c>
      <c r="G349" s="1893" t="s">
        <v>381</v>
      </c>
      <c r="I349" s="1893" t="s">
        <v>1684</v>
      </c>
      <c r="K349" s="1635"/>
      <c r="M349" s="1636" t="s">
        <v>1895</v>
      </c>
      <c r="O349" s="1895" t="s">
        <v>1686</v>
      </c>
      <c r="Q349" s="1636" t="s">
        <v>1994</v>
      </c>
    </row>
    <row r="350" spans="1:17" ht="25.5">
      <c r="C350" s="1878"/>
      <c r="D350" s="1734"/>
      <c r="E350" s="1892"/>
      <c r="F350" s="1637"/>
      <c r="G350" s="1894"/>
      <c r="H350" s="1637"/>
      <c r="I350" s="1894"/>
      <c r="J350" s="1637"/>
      <c r="K350" s="1638" t="s">
        <v>1687</v>
      </c>
      <c r="M350" s="1737" t="s">
        <v>1688</v>
      </c>
      <c r="O350" s="1896"/>
      <c r="Q350" s="1737" t="s">
        <v>1689</v>
      </c>
    </row>
    <row r="351" spans="1:17" ht="5.0999999999999996" customHeight="1"/>
    <row r="352" spans="1:17">
      <c r="A352" s="1639"/>
      <c r="B352" s="1639"/>
      <c r="C352" s="1554">
        <f>C343+1</f>
        <v>170</v>
      </c>
      <c r="D352" s="1639"/>
      <c r="E352" s="1640" t="s">
        <v>1690</v>
      </c>
      <c r="F352" s="1639"/>
      <c r="G352" s="1641"/>
      <c r="H352" s="1639"/>
      <c r="I352" s="1641"/>
      <c r="J352" s="1639"/>
      <c r="K352" s="1642"/>
      <c r="M352" s="1631"/>
      <c r="O352" s="1643"/>
      <c r="Q352" s="1639"/>
    </row>
    <row r="353" spans="1:20" ht="5.0999999999999996" customHeight="1"/>
    <row r="354" spans="1:20">
      <c r="C354" s="1554">
        <f>C352+1</f>
        <v>171</v>
      </c>
      <c r="E354" s="1626" t="s">
        <v>1667</v>
      </c>
      <c r="G354" s="1644"/>
      <c r="I354" s="1641"/>
      <c r="K354" s="1629">
        <f>K138+K174+K210+K246+K282+K318</f>
        <v>-473969</v>
      </c>
      <c r="L354" s="1628"/>
      <c r="M354" s="1629">
        <f>M138+M174+M210+M246+M282+M318</f>
        <v>-325853.875</v>
      </c>
      <c r="N354" s="1628"/>
      <c r="O354" s="1629">
        <f>O138+O174+O210+O246+O282+O318</f>
        <v>118492.25</v>
      </c>
      <c r="P354" s="1628"/>
      <c r="Q354" s="1629">
        <f>M354+O354</f>
        <v>-207361.625</v>
      </c>
      <c r="T354" s="1585"/>
    </row>
    <row r="355" spans="1:20">
      <c r="C355" s="1554">
        <f>C354+1</f>
        <v>172</v>
      </c>
      <c r="E355" s="1626" t="s">
        <v>1692</v>
      </c>
      <c r="G355" s="1644"/>
      <c r="I355" s="1641"/>
      <c r="K355" s="1645">
        <f>K139+K175+K211+K247+K283+K319</f>
        <v>0</v>
      </c>
      <c r="M355" s="1645">
        <f>M139+M175+M211+M247+M283+M319</f>
        <v>0</v>
      </c>
      <c r="O355" s="1645">
        <f>O139+O175+O211+O247+O283+O319</f>
        <v>0</v>
      </c>
      <c r="Q355" s="1630">
        <f>M355+O355</f>
        <v>0</v>
      </c>
    </row>
    <row r="356" spans="1:20">
      <c r="C356" s="1554">
        <f>C355+1</f>
        <v>173</v>
      </c>
      <c r="E356" s="1626" t="s">
        <v>1668</v>
      </c>
      <c r="G356" s="1644"/>
      <c r="I356" s="1641"/>
      <c r="K356" s="1645">
        <f>K140+K176+K212+K248+K284+K320</f>
        <v>0</v>
      </c>
      <c r="M356" s="1645">
        <f>M140+M176+M212+M248+M284+M320</f>
        <v>0</v>
      </c>
      <c r="O356" s="1645">
        <f>O140+O176+O212+O248+O284+O320</f>
        <v>0</v>
      </c>
      <c r="Q356" s="1630">
        <f>M356+O356</f>
        <v>0</v>
      </c>
    </row>
    <row r="357" spans="1:20">
      <c r="C357" s="1554">
        <f>C356+1</f>
        <v>174</v>
      </c>
      <c r="E357" s="1626" t="s">
        <v>1669</v>
      </c>
      <c r="G357" s="1644"/>
      <c r="I357" s="1641"/>
      <c r="K357" s="1645">
        <f>K141+K177+K213+K249+K285+K321</f>
        <v>0</v>
      </c>
      <c r="M357" s="1645">
        <f>M141+M177+M213+M249+M285+M321</f>
        <v>0</v>
      </c>
      <c r="O357" s="1645">
        <f>O141+O177+O213+O249+O285+O321</f>
        <v>0</v>
      </c>
      <c r="Q357" s="1630">
        <f>M357+O357</f>
        <v>0</v>
      </c>
      <c r="T357" s="1585"/>
    </row>
    <row r="358" spans="1:20" ht="5.0999999999999996" customHeight="1">
      <c r="K358" s="1646"/>
      <c r="M358" s="1646"/>
      <c r="O358" s="1646"/>
      <c r="Q358" s="1646"/>
    </row>
    <row r="359" spans="1:20">
      <c r="C359" s="1554">
        <f>C357+1</f>
        <v>175</v>
      </c>
      <c r="E359" s="1551" t="s">
        <v>1693</v>
      </c>
      <c r="K359" s="1631">
        <f>SUM(K353:K358)</f>
        <v>-473969</v>
      </c>
      <c r="L359" s="1631"/>
      <c r="M359" s="1631">
        <f>SUM(M353:M358)</f>
        <v>-325853.875</v>
      </c>
      <c r="N359" s="1628"/>
      <c r="O359" s="1631">
        <f>SUM(O353:O358)</f>
        <v>118492.25</v>
      </c>
      <c r="P359" s="1631"/>
      <c r="Q359" s="1631">
        <f>SUM(Q353:Q358)</f>
        <v>-207361.625</v>
      </c>
    </row>
    <row r="360" spans="1:20">
      <c r="C360" s="1554"/>
    </row>
    <row r="361" spans="1:20">
      <c r="A361" s="1639"/>
      <c r="B361" s="1639"/>
      <c r="C361" s="1554">
        <f>C359+1</f>
        <v>176</v>
      </c>
      <c r="D361" s="1639"/>
      <c r="E361" s="1640" t="s">
        <v>1694</v>
      </c>
      <c r="F361" s="1639"/>
      <c r="G361" s="1641"/>
      <c r="H361" s="1639"/>
      <c r="I361" s="1641"/>
      <c r="J361" s="1639"/>
      <c r="K361" s="1642"/>
      <c r="M361" s="1631"/>
      <c r="O361" s="1643"/>
      <c r="Q361" s="1639"/>
    </row>
    <row r="362" spans="1:20" ht="5.0999999999999996" customHeight="1"/>
    <row r="363" spans="1:20">
      <c r="C363" s="1554">
        <f>C361+1</f>
        <v>177</v>
      </c>
      <c r="E363" s="1626" t="s">
        <v>1667</v>
      </c>
      <c r="G363" s="1644"/>
      <c r="I363" s="1641"/>
      <c r="K363" s="1629">
        <f>K147+K183+K219+K255+K291+K327</f>
        <v>0</v>
      </c>
      <c r="L363" s="1628"/>
      <c r="M363" s="1629">
        <f>M147+M183+M219+M255+M291+M327</f>
        <v>0</v>
      </c>
      <c r="N363" s="1628"/>
      <c r="O363" s="1629">
        <f>O147+O183+O219+O255+O291+O327</f>
        <v>0</v>
      </c>
      <c r="P363" s="1628"/>
      <c r="Q363" s="1629">
        <f>M363+O363</f>
        <v>0</v>
      </c>
    </row>
    <row r="364" spans="1:20">
      <c r="C364" s="1554">
        <f>C363+1</f>
        <v>178</v>
      </c>
      <c r="E364" s="1626" t="s">
        <v>1692</v>
      </c>
      <c r="G364" s="1644"/>
      <c r="I364" s="1641"/>
      <c r="K364" s="1645">
        <f>K148+K184+K220+K256+K292+K328</f>
        <v>0</v>
      </c>
      <c r="M364" s="1645">
        <f>M148+M184+M220+M256+M292+M328</f>
        <v>0</v>
      </c>
      <c r="O364" s="1645">
        <f>O148+O184+O220+O256+O292+O328</f>
        <v>0</v>
      </c>
      <c r="Q364" s="1630">
        <f>M364+O364</f>
        <v>0</v>
      </c>
    </row>
    <row r="365" spans="1:20">
      <c r="C365" s="1554">
        <f>C364+1</f>
        <v>179</v>
      </c>
      <c r="E365" s="1626" t="s">
        <v>1668</v>
      </c>
      <c r="G365" s="1644"/>
      <c r="I365" s="1641"/>
      <c r="K365" s="1645">
        <f>K149+K185+K221+K257+K293+K329</f>
        <v>-1932414</v>
      </c>
      <c r="M365" s="1645">
        <f>M149+M185+M221+M257+M293+M329</f>
        <v>-1449310.3</v>
      </c>
      <c r="O365" s="1645">
        <f>O149+O185+O221+O257+O293+O329</f>
        <v>386482.8</v>
      </c>
      <c r="Q365" s="1630">
        <f>M365+O365</f>
        <v>-1062827.5</v>
      </c>
      <c r="T365" s="1585"/>
    </row>
    <row r="366" spans="1:20">
      <c r="C366" s="1554">
        <f>C365+1</f>
        <v>180</v>
      </c>
      <c r="E366" s="1626" t="s">
        <v>1669</v>
      </c>
      <c r="G366" s="1644"/>
      <c r="I366" s="1641"/>
      <c r="K366" s="1645">
        <f>K150+K186+K222+K258+K294+K330</f>
        <v>0</v>
      </c>
      <c r="M366" s="1645">
        <f>M150+M186+M222+M258+M294+M330</f>
        <v>0</v>
      </c>
      <c r="O366" s="1645">
        <f>O150+O186+O222+O258+O294+O330</f>
        <v>0</v>
      </c>
      <c r="Q366" s="1630">
        <f>M366+O366</f>
        <v>0</v>
      </c>
    </row>
    <row r="367" spans="1:20" ht="5.0999999999999996" customHeight="1">
      <c r="K367" s="1646"/>
      <c r="M367" s="1646"/>
      <c r="O367" s="1646"/>
      <c r="Q367" s="1646"/>
    </row>
    <row r="368" spans="1:20">
      <c r="C368" s="1554">
        <f>C366+1</f>
        <v>181</v>
      </c>
      <c r="E368" s="1551" t="s">
        <v>1693</v>
      </c>
      <c r="K368" s="1631">
        <f>SUM(K362:K367)</f>
        <v>-1932414</v>
      </c>
      <c r="L368" s="1628"/>
      <c r="M368" s="1631">
        <f>SUM(M362:M367)</f>
        <v>-1449310.3</v>
      </c>
      <c r="N368" s="1631"/>
      <c r="O368" s="1631">
        <f>SUM(O362:O367)</f>
        <v>386482.8</v>
      </c>
      <c r="P368" s="1631"/>
      <c r="Q368" s="1631">
        <f>SUM(Q362:Q367)</f>
        <v>-1062827.5</v>
      </c>
    </row>
    <row r="370" spans="1:20">
      <c r="A370" s="1639"/>
      <c r="B370" s="1639"/>
      <c r="C370" s="1554">
        <f>C368+1</f>
        <v>182</v>
      </c>
      <c r="D370" s="1639"/>
      <c r="E370" s="1640" t="s">
        <v>1696</v>
      </c>
      <c r="F370" s="1639"/>
      <c r="G370" s="1641"/>
      <c r="H370" s="1639"/>
      <c r="I370" s="1641"/>
      <c r="J370" s="1639"/>
      <c r="K370" s="1642"/>
      <c r="M370" s="1631"/>
      <c r="O370" s="1643"/>
      <c r="Q370" s="1639"/>
    </row>
    <row r="371" spans="1:20" ht="5.0999999999999996" customHeight="1"/>
    <row r="372" spans="1:20">
      <c r="C372" s="1554">
        <f>C370+1</f>
        <v>183</v>
      </c>
      <c r="E372" s="1626" t="s">
        <v>1667</v>
      </c>
      <c r="G372" s="1644"/>
      <c r="I372" s="1641"/>
      <c r="K372" s="1629">
        <f>K156+K192+K228+K264+K300+K336</f>
        <v>0</v>
      </c>
      <c r="M372" s="1629">
        <f>M156+M192+M228+M264+M300+M336</f>
        <v>0</v>
      </c>
      <c r="O372" s="1629">
        <f>O156+O192+O228+O264+O300+O336</f>
        <v>0</v>
      </c>
      <c r="Q372" s="1629">
        <f t="shared" ref="Q372:Q375" si="0">M372+O372</f>
        <v>0</v>
      </c>
    </row>
    <row r="373" spans="1:20">
      <c r="C373" s="1554">
        <f>C372+1</f>
        <v>184</v>
      </c>
      <c r="E373" s="1626" t="s">
        <v>1692</v>
      </c>
      <c r="G373" s="1644"/>
      <c r="I373" s="1641"/>
      <c r="K373" s="1645">
        <f>K157+K193+K229+K265+K301+K337</f>
        <v>0</v>
      </c>
      <c r="M373" s="1645">
        <f>M157+M193+M229+M265+M301+M337</f>
        <v>0</v>
      </c>
      <c r="O373" s="1645">
        <f>O157+O193+O229+O265+O301+O337</f>
        <v>0</v>
      </c>
      <c r="Q373" s="1630">
        <f t="shared" si="0"/>
        <v>0</v>
      </c>
    </row>
    <row r="374" spans="1:20">
      <c r="C374" s="1554">
        <f>C373+1</f>
        <v>185</v>
      </c>
      <c r="E374" s="1626" t="s">
        <v>1668</v>
      </c>
      <c r="G374" s="1644"/>
      <c r="I374" s="1641"/>
      <c r="K374" s="1645">
        <f>K158+K194+K230+K266+K302+K338</f>
        <v>0</v>
      </c>
      <c r="M374" s="1645">
        <f>M158+M194+M230+M266+M302+M338</f>
        <v>0</v>
      </c>
      <c r="O374" s="1645">
        <f>O158+O194+O230+O266+O302+O338</f>
        <v>0</v>
      </c>
      <c r="Q374" s="1630">
        <f t="shared" si="0"/>
        <v>0</v>
      </c>
    </row>
    <row r="375" spans="1:20">
      <c r="C375" s="1554">
        <f>C374+1</f>
        <v>186</v>
      </c>
      <c r="E375" s="1626" t="s">
        <v>1669</v>
      </c>
      <c r="G375" s="1644"/>
      <c r="I375" s="1641"/>
      <c r="K375" s="1645">
        <f>K159+K195+K231+K267+K303+K339</f>
        <v>0</v>
      </c>
      <c r="M375" s="1645">
        <f>M159+M195+M231+M267+M303+M339</f>
        <v>0</v>
      </c>
      <c r="O375" s="1645">
        <f>O159+O195+O231+O267+O303+O339</f>
        <v>0</v>
      </c>
      <c r="Q375" s="1630">
        <f t="shared" si="0"/>
        <v>0</v>
      </c>
    </row>
    <row r="376" spans="1:20" ht="5.0999999999999996" customHeight="1">
      <c r="K376" s="1646"/>
      <c r="M376" s="1646"/>
      <c r="O376" s="1646"/>
      <c r="Q376" s="1646"/>
    </row>
    <row r="377" spans="1:20">
      <c r="C377" s="1554">
        <f>C375+1</f>
        <v>187</v>
      </c>
      <c r="E377" s="1551" t="s">
        <v>1693</v>
      </c>
      <c r="K377" s="1631">
        <f>SUM(K371:K376)</f>
        <v>0</v>
      </c>
      <c r="L377" s="1628"/>
      <c r="M377" s="1631">
        <f>SUM(M371:M376)</f>
        <v>0</v>
      </c>
      <c r="N377" s="1628"/>
      <c r="O377" s="1631">
        <f>SUM(O371:O376)</f>
        <v>0</v>
      </c>
      <c r="P377" s="1631"/>
      <c r="Q377" s="1631">
        <f>SUM(Q371:Q376)</f>
        <v>0</v>
      </c>
      <c r="T377" s="1585"/>
    </row>
    <row r="379" spans="1:20" ht="13.5" thickBot="1">
      <c r="C379" s="1554">
        <f>C377+1</f>
        <v>188</v>
      </c>
      <c r="E379" s="1551" t="s">
        <v>1698</v>
      </c>
      <c r="K379" s="1647">
        <f>K359+K368+K377</f>
        <v>-2406383</v>
      </c>
      <c r="L379" s="1631"/>
      <c r="M379" s="1647">
        <f>M359+M368+M377</f>
        <v>-1775164.175</v>
      </c>
      <c r="N379" s="1631"/>
      <c r="O379" s="1647">
        <f>O359+O368+O377</f>
        <v>504975.05</v>
      </c>
      <c r="P379" s="1631"/>
      <c r="Q379" s="1647">
        <f>Q359+Q368+Q377</f>
        <v>-1270189.125</v>
      </c>
      <c r="T379" s="1648"/>
    </row>
    <row r="380" spans="1:20">
      <c r="C380" s="1554"/>
      <c r="E380" s="1551"/>
      <c r="K380" s="1650"/>
      <c r="L380" s="1631"/>
      <c r="M380" s="1650"/>
      <c r="N380" s="1631"/>
      <c r="O380" s="1650"/>
      <c r="P380" s="1631"/>
      <c r="Q380" s="1650"/>
      <c r="T380" s="1648"/>
    </row>
    <row r="381" spans="1:20">
      <c r="C381" s="1554"/>
      <c r="E381" s="1551"/>
      <c r="K381" s="1650"/>
      <c r="L381" s="1631"/>
      <c r="M381" s="1650"/>
      <c r="N381" s="1631"/>
      <c r="O381" s="1650"/>
      <c r="P381" s="1631"/>
      <c r="Q381" s="1650"/>
      <c r="T381" s="1648"/>
    </row>
    <row r="382" spans="1:20" ht="15">
      <c r="E382" s="1888" t="s">
        <v>1717</v>
      </c>
      <c r="F382" s="1889"/>
      <c r="G382" s="1889"/>
      <c r="H382" s="1889"/>
      <c r="I382" s="1889"/>
      <c r="J382" s="1889"/>
      <c r="K382" s="1889"/>
      <c r="L382" s="1889"/>
      <c r="M382" s="1889"/>
      <c r="N382" s="1889"/>
      <c r="O382" s="1889"/>
      <c r="P382" s="1889"/>
      <c r="Q382" s="1890"/>
    </row>
    <row r="384" spans="1:20">
      <c r="E384" s="1552" t="s">
        <v>216</v>
      </c>
      <c r="F384" s="1552"/>
      <c r="G384" s="1552" t="s">
        <v>217</v>
      </c>
      <c r="H384" s="1552"/>
      <c r="I384" s="1552" t="s">
        <v>1296</v>
      </c>
      <c r="J384" s="1552"/>
      <c r="K384" s="1552" t="s">
        <v>1580</v>
      </c>
      <c r="L384" s="1552"/>
      <c r="M384" s="1552" t="s">
        <v>1683</v>
      </c>
      <c r="N384" s="1552"/>
      <c r="O384" s="1552" t="s">
        <v>1582</v>
      </c>
      <c r="P384" s="1552"/>
      <c r="Q384" s="1552" t="s">
        <v>1583</v>
      </c>
    </row>
    <row r="385" spans="3:17" ht="15" customHeight="1">
      <c r="C385" s="1877" t="s">
        <v>1590</v>
      </c>
      <c r="D385" s="1734"/>
      <c r="E385" s="1891" t="s">
        <v>1664</v>
      </c>
      <c r="G385" s="1893" t="s">
        <v>381</v>
      </c>
      <c r="I385" s="1893" t="s">
        <v>1684</v>
      </c>
      <c r="M385" s="1636" t="s">
        <v>1895</v>
      </c>
      <c r="O385" s="1895" t="s">
        <v>1686</v>
      </c>
      <c r="Q385" s="1636" t="s">
        <v>1994</v>
      </c>
    </row>
    <row r="386" spans="3:17" ht="25.5">
      <c r="C386" s="1878"/>
      <c r="D386" s="1734"/>
      <c r="E386" s="1892"/>
      <c r="F386" s="1637"/>
      <c r="G386" s="1894"/>
      <c r="H386" s="1637"/>
      <c r="I386" s="1894"/>
      <c r="J386" s="1637"/>
      <c r="K386" s="1638" t="s">
        <v>1687</v>
      </c>
      <c r="M386" s="1737" t="s">
        <v>1688</v>
      </c>
      <c r="O386" s="1896"/>
      <c r="Q386" s="1737" t="s">
        <v>1689</v>
      </c>
    </row>
    <row r="387" spans="3:17" ht="5.0999999999999996" customHeight="1"/>
    <row r="388" spans="3:17">
      <c r="C388" s="1554">
        <f>C379+1</f>
        <v>189</v>
      </c>
      <c r="E388" s="1626" t="s">
        <v>1667</v>
      </c>
      <c r="K388" s="1629">
        <f>K354+K363+K372</f>
        <v>-473969</v>
      </c>
      <c r="L388" s="1628"/>
      <c r="M388" s="1629">
        <f>M354+M363+M372</f>
        <v>-325853.875</v>
      </c>
      <c r="N388" s="1628"/>
      <c r="O388" s="1629">
        <f>O354+O363+O372</f>
        <v>118492.25</v>
      </c>
      <c r="P388" s="1628"/>
      <c r="Q388" s="1629">
        <f>M388+O388</f>
        <v>-207361.625</v>
      </c>
    </row>
    <row r="389" spans="3:17">
      <c r="C389" s="1554">
        <f>C388+1</f>
        <v>190</v>
      </c>
      <c r="E389" s="1626" t="s">
        <v>1692</v>
      </c>
      <c r="K389" s="1645">
        <f t="shared" ref="K389:M391" si="1">K355+K364+K373</f>
        <v>0</v>
      </c>
      <c r="M389" s="1645">
        <f t="shared" si="1"/>
        <v>0</v>
      </c>
      <c r="O389" s="1645">
        <f t="shared" ref="O389:O391" si="2">O355+O364+O373</f>
        <v>0</v>
      </c>
      <c r="Q389" s="1630">
        <f>M389+O389</f>
        <v>0</v>
      </c>
    </row>
    <row r="390" spans="3:17">
      <c r="C390" s="1554">
        <f>C389+1</f>
        <v>191</v>
      </c>
      <c r="E390" s="1626" t="s">
        <v>1668</v>
      </c>
      <c r="K390" s="1645">
        <f t="shared" si="1"/>
        <v>-1932414</v>
      </c>
      <c r="M390" s="1645">
        <f t="shared" si="1"/>
        <v>-1449310.3</v>
      </c>
      <c r="O390" s="1645">
        <f t="shared" si="2"/>
        <v>386482.8</v>
      </c>
      <c r="Q390" s="1630">
        <f>M390+O390</f>
        <v>-1062827.5</v>
      </c>
    </row>
    <row r="391" spans="3:17">
      <c r="C391" s="1554">
        <f>C390+1</f>
        <v>192</v>
      </c>
      <c r="E391" s="1626" t="s">
        <v>1669</v>
      </c>
      <c r="K391" s="1645">
        <f t="shared" si="1"/>
        <v>0</v>
      </c>
      <c r="M391" s="1645">
        <f t="shared" si="1"/>
        <v>0</v>
      </c>
      <c r="O391" s="1645">
        <f t="shared" si="2"/>
        <v>0</v>
      </c>
      <c r="Q391" s="1630">
        <f>M391+O391</f>
        <v>0</v>
      </c>
    </row>
    <row r="392" spans="3:17" ht="5.0999999999999996" customHeight="1">
      <c r="Q392" s="1646"/>
    </row>
    <row r="393" spans="3:17">
      <c r="C393" s="1554">
        <f>C391+1</f>
        <v>193</v>
      </c>
      <c r="E393" s="1551" t="s">
        <v>1698</v>
      </c>
      <c r="K393" s="1651">
        <f>SUM(K388:K392)</f>
        <v>-2406383</v>
      </c>
      <c r="L393" s="1631"/>
      <c r="M393" s="1651">
        <f>SUM(M388:M392)</f>
        <v>-1775164.175</v>
      </c>
      <c r="N393" s="1631"/>
      <c r="O393" s="1651">
        <f>SUM(O388:O392)</f>
        <v>504975.05</v>
      </c>
      <c r="P393" s="1631"/>
      <c r="Q393" s="1651">
        <f>SUM(Q388:Q392)</f>
        <v>-1270189.125</v>
      </c>
    </row>
    <row r="394" spans="3:17" ht="5.0999999999999996" customHeight="1"/>
    <row r="395" spans="3:17">
      <c r="C395" s="1554">
        <f>C393+1</f>
        <v>194</v>
      </c>
      <c r="E395" s="1626" t="s">
        <v>1512</v>
      </c>
      <c r="G395" s="1199" t="s">
        <v>1702</v>
      </c>
      <c r="K395" s="1652">
        <f>'ATT H-9A'!$H$254</f>
        <v>1.380395621385089</v>
      </c>
      <c r="M395" s="1652">
        <f>'ATT H-9A'!$H$254</f>
        <v>1.380395621385089</v>
      </c>
      <c r="O395" s="1652">
        <f>'ATT H-9A'!$H$254</f>
        <v>1.380395621385089</v>
      </c>
      <c r="Q395" s="1652">
        <f>'ATT H-9A'!$H$254</f>
        <v>1.380395621385089</v>
      </c>
    </row>
    <row r="396" spans="3:17" ht="5.0999999999999996" customHeight="1"/>
    <row r="397" spans="3:17" ht="13.5" thickBot="1">
      <c r="C397" s="1554">
        <f>C395+1</f>
        <v>195</v>
      </c>
      <c r="E397" s="1551" t="s">
        <v>1703</v>
      </c>
      <c r="K397" s="1653">
        <f>K393*K395</f>
        <v>-3321760.5565755144</v>
      </c>
      <c r="L397" s="1631"/>
      <c r="M397" s="1653">
        <f>M393*M395</f>
        <v>-2450428.8544096737</v>
      </c>
      <c r="N397" s="1631"/>
      <c r="O397" s="1653">
        <f>O393*O395</f>
        <v>697065.34792871634</v>
      </c>
      <c r="P397" s="1631"/>
      <c r="Q397" s="1653">
        <f>Q393*Q395</f>
        <v>-1753363.5064809574</v>
      </c>
    </row>
    <row r="398" spans="3:17" ht="13.5" thickTop="1"/>
    <row r="400" spans="3:17" ht="15">
      <c r="E400" s="1888" t="s">
        <v>1718</v>
      </c>
      <c r="F400" s="1889"/>
      <c r="G400" s="1889"/>
      <c r="H400" s="1889"/>
      <c r="I400" s="1889"/>
      <c r="J400" s="1889"/>
      <c r="K400" s="1889"/>
      <c r="L400" s="1889"/>
      <c r="M400" s="1889"/>
      <c r="N400" s="1889"/>
      <c r="O400" s="1889"/>
      <c r="P400" s="1889"/>
      <c r="Q400" s="1890"/>
    </row>
    <row r="402" spans="3:17">
      <c r="E402" s="1552" t="s">
        <v>216</v>
      </c>
      <c r="F402" s="1552"/>
      <c r="G402" s="1552" t="s">
        <v>217</v>
      </c>
      <c r="H402" s="1552"/>
      <c r="I402" s="1552" t="s">
        <v>1296</v>
      </c>
      <c r="J402" s="1552"/>
      <c r="K402" s="1552" t="s">
        <v>1580</v>
      </c>
      <c r="L402" s="1552"/>
      <c r="M402" s="1552" t="s">
        <v>1683</v>
      </c>
      <c r="N402" s="1552"/>
      <c r="O402" s="1552" t="s">
        <v>1582</v>
      </c>
      <c r="P402" s="1552"/>
      <c r="Q402" s="1552" t="s">
        <v>1583</v>
      </c>
    </row>
    <row r="403" spans="3:17">
      <c r="C403" s="1883" t="s">
        <v>1590</v>
      </c>
      <c r="E403" s="1884" t="s">
        <v>1705</v>
      </c>
      <c r="G403" s="1886" t="s">
        <v>381</v>
      </c>
      <c r="H403" s="1886"/>
      <c r="I403" s="1886"/>
      <c r="K403" s="1635"/>
      <c r="M403" s="1636" t="s">
        <v>1895</v>
      </c>
      <c r="Q403" s="1636" t="s">
        <v>1994</v>
      </c>
    </row>
    <row r="404" spans="3:17" ht="25.5">
      <c r="C404" s="1862"/>
      <c r="E404" s="1885"/>
      <c r="G404" s="1887"/>
      <c r="H404" s="1887"/>
      <c r="I404" s="1887"/>
      <c r="J404" s="1637"/>
      <c r="K404" s="1638" t="s">
        <v>1687</v>
      </c>
      <c r="M404" s="1737" t="s">
        <v>1688</v>
      </c>
      <c r="O404" s="1737" t="s">
        <v>1686</v>
      </c>
      <c r="Q404" s="1737" t="s">
        <v>1689</v>
      </c>
    </row>
    <row r="405" spans="3:17" ht="5.0999999999999996" customHeight="1"/>
    <row r="406" spans="3:17">
      <c r="C406" s="1554">
        <f>C397+1</f>
        <v>196</v>
      </c>
      <c r="E406" s="1626" t="s">
        <v>1706</v>
      </c>
      <c r="K406" s="1629">
        <v>0</v>
      </c>
      <c r="L406" s="1628"/>
      <c r="M406" s="1629">
        <v>0</v>
      </c>
      <c r="N406" s="1628"/>
      <c r="O406" s="1629">
        <v>0</v>
      </c>
      <c r="P406" s="1628"/>
      <c r="Q406" s="1629">
        <v>0</v>
      </c>
    </row>
    <row r="407" spans="3:17">
      <c r="C407" s="1554">
        <f>C406+1</f>
        <v>197</v>
      </c>
      <c r="E407" s="1626" t="s">
        <v>1707</v>
      </c>
      <c r="K407" s="1630">
        <f>K397</f>
        <v>-3321760.5565755144</v>
      </c>
      <c r="M407" s="1630">
        <f>M397</f>
        <v>-2450428.8544096737</v>
      </c>
      <c r="O407" s="1630">
        <f>O397</f>
        <v>697065.34792871634</v>
      </c>
      <c r="Q407" s="1630">
        <f>Q397</f>
        <v>-1753363.5064809574</v>
      </c>
    </row>
    <row r="408" spans="3:17" ht="5.0999999999999996" customHeight="1">
      <c r="K408" s="1646"/>
      <c r="M408" s="1646"/>
      <c r="O408" s="1646"/>
      <c r="Q408" s="1646"/>
    </row>
    <row r="409" spans="3:17">
      <c r="C409" s="1554">
        <f>C407+1</f>
        <v>198</v>
      </c>
      <c r="E409" s="1551" t="s">
        <v>1708</v>
      </c>
      <c r="K409" s="1631">
        <f>SUM(K406:K408)</f>
        <v>-3321760.5565755144</v>
      </c>
      <c r="L409" s="1631"/>
      <c r="M409" s="1631">
        <f>SUM(M406:M408)</f>
        <v>-2450428.8544096737</v>
      </c>
      <c r="N409" s="1628"/>
      <c r="O409" s="1631">
        <f>SUM(O406:O408)</f>
        <v>697065.34792871634</v>
      </c>
      <c r="P409" s="1628"/>
      <c r="Q409" s="1631">
        <f>SUM(Q406:Q408)</f>
        <v>-1753363.5064809574</v>
      </c>
    </row>
    <row r="410" spans="3:17">
      <c r="K410" s="1648"/>
    </row>
    <row r="412" spans="3:17" ht="15">
      <c r="E412" s="1880" t="s">
        <v>1719</v>
      </c>
      <c r="F412" s="1880"/>
      <c r="G412" s="1880"/>
      <c r="H412" s="1880"/>
      <c r="I412" s="1880"/>
      <c r="J412" s="1880"/>
      <c r="K412" s="1880"/>
      <c r="L412" s="1880"/>
      <c r="M412" s="1880"/>
      <c r="N412" s="1880"/>
      <c r="O412" s="1880"/>
      <c r="P412" s="1880"/>
      <c r="Q412" s="1880"/>
    </row>
    <row r="414" spans="3:17" ht="15">
      <c r="E414" s="1888" t="s">
        <v>1720</v>
      </c>
      <c r="F414" s="1889"/>
      <c r="G414" s="1889"/>
      <c r="H414" s="1889"/>
      <c r="I414" s="1889"/>
      <c r="J414" s="1889"/>
      <c r="K414" s="1889"/>
      <c r="L414" s="1889"/>
      <c r="M414" s="1889"/>
      <c r="N414" s="1889"/>
      <c r="O414" s="1889"/>
      <c r="P414" s="1889"/>
      <c r="Q414" s="1890"/>
    </row>
    <row r="416" spans="3:17">
      <c r="E416" s="1552" t="s">
        <v>216</v>
      </c>
      <c r="F416" s="1552"/>
      <c r="G416" s="1552" t="s">
        <v>217</v>
      </c>
      <c r="H416" s="1552"/>
      <c r="I416" s="1552" t="s">
        <v>1296</v>
      </c>
      <c r="J416" s="1552"/>
      <c r="K416" s="1552" t="s">
        <v>1580</v>
      </c>
      <c r="L416" s="1552"/>
      <c r="M416" s="1552" t="s">
        <v>1683</v>
      </c>
      <c r="N416" s="1552"/>
      <c r="O416" s="1552" t="s">
        <v>1582</v>
      </c>
      <c r="P416" s="1552"/>
      <c r="Q416" s="1552" t="s">
        <v>1583</v>
      </c>
    </row>
    <row r="417" spans="1:19">
      <c r="C417" s="1883" t="s">
        <v>1590</v>
      </c>
      <c r="E417" s="1884" t="s">
        <v>1705</v>
      </c>
      <c r="G417" s="1886" t="s">
        <v>381</v>
      </c>
      <c r="H417" s="1886"/>
      <c r="I417" s="1886"/>
      <c r="K417" s="1635"/>
      <c r="M417" s="1636" t="s">
        <v>1895</v>
      </c>
      <c r="Q417" s="1636" t="s">
        <v>1994</v>
      </c>
    </row>
    <row r="418" spans="1:19" ht="25.5">
      <c r="C418" s="1862"/>
      <c r="E418" s="1885"/>
      <c r="G418" s="1887"/>
      <c r="H418" s="1887"/>
      <c r="I418" s="1887"/>
      <c r="J418" s="1637"/>
      <c r="K418" s="1638" t="s">
        <v>1687</v>
      </c>
      <c r="M418" s="1737" t="s">
        <v>1688</v>
      </c>
      <c r="O418" s="1737" t="s">
        <v>1686</v>
      </c>
      <c r="Q418" s="1737" t="s">
        <v>1689</v>
      </c>
    </row>
    <row r="419" spans="1:19" ht="5.0999999999999996" customHeight="1"/>
    <row r="420" spans="1:19">
      <c r="C420" s="1554">
        <f>C409+1</f>
        <v>199</v>
      </c>
      <c r="E420" s="1626" t="s">
        <v>1706</v>
      </c>
      <c r="K420" s="1629">
        <f>K121+K406</f>
        <v>0</v>
      </c>
      <c r="L420" s="1628"/>
      <c r="M420" s="1629">
        <f>M121+M406</f>
        <v>0</v>
      </c>
      <c r="N420" s="1628"/>
      <c r="O420" s="1629">
        <f>O121+O406</f>
        <v>0</v>
      </c>
      <c r="P420" s="1628"/>
      <c r="Q420" s="1629">
        <f>Q121+Q406</f>
        <v>0</v>
      </c>
    </row>
    <row r="421" spans="1:19">
      <c r="C421" s="1554">
        <f>C420+1</f>
        <v>200</v>
      </c>
      <c r="E421" s="1626" t="s">
        <v>1707</v>
      </c>
      <c r="K421" s="1645">
        <f>K122+K407</f>
        <v>-150414122.69390914</v>
      </c>
      <c r="M421" s="1645">
        <f>M122+M407</f>
        <v>-116720660.69575194</v>
      </c>
      <c r="O421" s="1645">
        <f>O122+O407</f>
        <v>17165598.436236102</v>
      </c>
      <c r="Q421" s="1645">
        <f>Q122+Q407</f>
        <v>-99555062.259515837</v>
      </c>
    </row>
    <row r="422" spans="1:19" ht="5.0999999999999996" customHeight="1">
      <c r="K422" s="1646"/>
      <c r="M422" s="1646"/>
      <c r="O422" s="1646"/>
      <c r="Q422" s="1646"/>
    </row>
    <row r="423" spans="1:19">
      <c r="C423" s="1554">
        <f>C421+1</f>
        <v>201</v>
      </c>
      <c r="E423" s="1551" t="s">
        <v>1708</v>
      </c>
      <c r="K423" s="1631">
        <f>SUM(K420:K422)</f>
        <v>-150414122.69390914</v>
      </c>
      <c r="L423" s="1631"/>
      <c r="M423" s="1631">
        <f>SUM(M420:M422)</f>
        <v>-116720660.69575194</v>
      </c>
      <c r="N423" s="1628"/>
      <c r="O423" s="1631">
        <f>SUM(O420:O422)</f>
        <v>17165598.436236102</v>
      </c>
      <c r="P423" s="1628"/>
      <c r="Q423" s="1631">
        <f>SUM(Q420:Q422)</f>
        <v>-99555062.259515837</v>
      </c>
    </row>
    <row r="427" spans="1:19" ht="18">
      <c r="A427" s="1105"/>
      <c r="B427" s="1105" t="s">
        <v>1721</v>
      </c>
      <c r="C427" s="1105"/>
      <c r="D427" s="1105"/>
      <c r="E427" s="1105"/>
      <c r="F427" s="1105"/>
      <c r="G427" s="1105"/>
      <c r="H427" s="1105"/>
      <c r="I427" s="1105"/>
      <c r="J427" s="1105"/>
      <c r="K427" s="1105"/>
      <c r="L427" s="1105"/>
      <c r="M427" s="1105"/>
      <c r="N427" s="1105"/>
      <c r="O427" s="1105"/>
      <c r="P427" s="1105"/>
      <c r="Q427" s="1105"/>
      <c r="R427" s="1105"/>
      <c r="S427" s="1105"/>
    </row>
    <row r="428" spans="1:19">
      <c r="A428" s="103"/>
      <c r="B428" s="103"/>
      <c r="C428" s="103"/>
      <c r="D428" s="103"/>
      <c r="E428" s="103"/>
      <c r="F428" s="103"/>
      <c r="G428" s="103"/>
      <c r="H428" s="103"/>
      <c r="I428" s="103"/>
      <c r="J428" s="103"/>
      <c r="K428" s="103"/>
      <c r="L428" s="103"/>
      <c r="M428" s="103"/>
      <c r="N428" s="103"/>
      <c r="O428" s="103"/>
      <c r="P428" s="103"/>
      <c r="Q428" s="103"/>
    </row>
    <row r="429" spans="1:19">
      <c r="A429" s="103"/>
      <c r="B429" s="1882" t="s">
        <v>1722</v>
      </c>
      <c r="C429" s="1882"/>
      <c r="D429" s="1882"/>
      <c r="E429" s="1882"/>
      <c r="F429" s="1882"/>
      <c r="G429" s="1882"/>
      <c r="H429" s="1882"/>
      <c r="I429" s="1882"/>
      <c r="J429" s="1882"/>
      <c r="K429" s="1882"/>
      <c r="L429" s="1882"/>
      <c r="M429" s="1882"/>
      <c r="N429" s="1882"/>
      <c r="O429" s="1882"/>
      <c r="P429" s="1882"/>
      <c r="Q429" s="1882"/>
    </row>
    <row r="430" spans="1:19">
      <c r="A430" s="103"/>
      <c r="B430" s="1882"/>
      <c r="C430" s="1882"/>
      <c r="D430" s="1882"/>
      <c r="E430" s="1882"/>
      <c r="F430" s="1882"/>
      <c r="G430" s="1882"/>
      <c r="H430" s="1882"/>
      <c r="I430" s="1882"/>
      <c r="J430" s="1882"/>
      <c r="K430" s="1882"/>
      <c r="L430" s="1882"/>
      <c r="M430" s="1882"/>
      <c r="N430" s="1882"/>
      <c r="O430" s="1882"/>
      <c r="P430" s="1882"/>
      <c r="Q430" s="1882"/>
    </row>
    <row r="431" spans="1:19">
      <c r="A431" s="103"/>
      <c r="B431" s="1882"/>
      <c r="C431" s="1882"/>
      <c r="D431" s="1882"/>
      <c r="E431" s="1882"/>
      <c r="F431" s="1882"/>
      <c r="G431" s="1882"/>
      <c r="H431" s="1882"/>
      <c r="I431" s="1882"/>
      <c r="J431" s="1882"/>
      <c r="K431" s="1882"/>
      <c r="L431" s="1882"/>
      <c r="M431" s="1882"/>
      <c r="N431" s="1882"/>
      <c r="O431" s="1882"/>
      <c r="P431" s="1882"/>
      <c r="Q431" s="1882"/>
    </row>
    <row r="432" spans="1:19">
      <c r="A432" s="103"/>
      <c r="B432" s="1882" t="s">
        <v>1723</v>
      </c>
      <c r="C432" s="1882"/>
      <c r="D432" s="1882"/>
      <c r="E432" s="1882"/>
      <c r="F432" s="1882"/>
      <c r="G432" s="1882"/>
      <c r="H432" s="1882"/>
      <c r="I432" s="1882"/>
      <c r="J432" s="1882"/>
      <c r="K432" s="1882"/>
      <c r="L432" s="1882"/>
      <c r="M432" s="1882"/>
      <c r="N432" s="1882"/>
      <c r="O432" s="1882"/>
      <c r="P432" s="1882"/>
      <c r="Q432" s="1882"/>
    </row>
    <row r="433" spans="1:19">
      <c r="A433" s="103"/>
      <c r="B433" s="1882"/>
      <c r="C433" s="1882"/>
      <c r="D433" s="1882"/>
      <c r="E433" s="1882"/>
      <c r="F433" s="1882"/>
      <c r="G433" s="1882"/>
      <c r="H433" s="1882"/>
      <c r="I433" s="1882"/>
      <c r="J433" s="1882"/>
      <c r="K433" s="1882"/>
      <c r="L433" s="1882"/>
      <c r="M433" s="1882"/>
      <c r="N433" s="1882"/>
      <c r="O433" s="1882"/>
      <c r="P433" s="1882"/>
      <c r="Q433" s="1882"/>
    </row>
    <row r="434" spans="1:19">
      <c r="A434" s="103"/>
      <c r="B434" s="1882"/>
      <c r="C434" s="1882"/>
      <c r="D434" s="1882"/>
      <c r="E434" s="1882"/>
      <c r="F434" s="1882"/>
      <c r="G434" s="1882"/>
      <c r="H434" s="1882"/>
      <c r="I434" s="1882"/>
      <c r="J434" s="1882"/>
      <c r="K434" s="1882"/>
      <c r="L434" s="1882"/>
      <c r="M434" s="1882"/>
      <c r="N434" s="1882"/>
      <c r="O434" s="1882"/>
      <c r="P434" s="1882"/>
      <c r="Q434" s="1882"/>
    </row>
    <row r="435" spans="1:19">
      <c r="A435" s="103"/>
      <c r="B435" s="1882" t="s">
        <v>1724</v>
      </c>
      <c r="C435" s="1882"/>
      <c r="D435" s="1882"/>
      <c r="E435" s="1882"/>
      <c r="F435" s="1882"/>
      <c r="G435" s="1882"/>
      <c r="H435" s="1882"/>
      <c r="I435" s="1882"/>
      <c r="J435" s="1882"/>
      <c r="K435" s="1882"/>
      <c r="L435" s="1882"/>
      <c r="M435" s="1882"/>
      <c r="N435" s="1882"/>
      <c r="O435" s="1882"/>
      <c r="P435" s="1882"/>
      <c r="Q435" s="1882"/>
    </row>
    <row r="436" spans="1:19">
      <c r="A436" s="103"/>
      <c r="B436" s="1882"/>
      <c r="C436" s="1882"/>
      <c r="D436" s="1882"/>
      <c r="E436" s="1882"/>
      <c r="F436" s="1882"/>
      <c r="G436" s="1882"/>
      <c r="H436" s="1882"/>
      <c r="I436" s="1882"/>
      <c r="J436" s="1882"/>
      <c r="K436" s="1882"/>
      <c r="L436" s="1882"/>
      <c r="M436" s="1882"/>
      <c r="N436" s="1882"/>
      <c r="O436" s="1882"/>
      <c r="P436" s="1882"/>
      <c r="Q436" s="1882"/>
    </row>
    <row r="437" spans="1:19">
      <c r="A437" s="103"/>
      <c r="B437" s="1882"/>
      <c r="C437" s="1882"/>
      <c r="D437" s="1882"/>
      <c r="E437" s="1882"/>
      <c r="F437" s="1882"/>
      <c r="G437" s="1882"/>
      <c r="H437" s="1882"/>
      <c r="I437" s="1882"/>
      <c r="J437" s="1882"/>
      <c r="K437" s="1882"/>
      <c r="L437" s="1882"/>
      <c r="M437" s="1882"/>
      <c r="N437" s="1882"/>
      <c r="O437" s="1882"/>
      <c r="P437" s="1882"/>
      <c r="Q437" s="1882"/>
    </row>
    <row r="438" spans="1:19">
      <c r="A438" s="103"/>
      <c r="B438" s="1882" t="s">
        <v>1725</v>
      </c>
      <c r="C438" s="1882"/>
      <c r="D438" s="1882"/>
      <c r="E438" s="1882"/>
      <c r="F438" s="1882"/>
      <c r="G438" s="1882"/>
      <c r="H438" s="1882"/>
      <c r="I438" s="1882"/>
      <c r="J438" s="1882"/>
      <c r="K438" s="1882"/>
      <c r="L438" s="1882"/>
      <c r="M438" s="1882"/>
      <c r="N438" s="1882"/>
      <c r="O438" s="1882"/>
      <c r="P438" s="1882"/>
      <c r="Q438" s="1882"/>
    </row>
    <row r="439" spans="1:19">
      <c r="A439" s="103"/>
      <c r="B439" s="1882"/>
      <c r="C439" s="1882"/>
      <c r="D439" s="1882"/>
      <c r="E439" s="1882"/>
      <c r="F439" s="1882"/>
      <c r="G439" s="1882"/>
      <c r="H439" s="1882"/>
      <c r="I439" s="1882"/>
      <c r="J439" s="1882"/>
      <c r="K439" s="1882"/>
      <c r="L439" s="1882"/>
      <c r="M439" s="1882"/>
      <c r="N439" s="1882"/>
      <c r="O439" s="1882"/>
      <c r="P439" s="1882"/>
      <c r="Q439" s="1882"/>
    </row>
    <row r="440" spans="1:19">
      <c r="A440" s="103"/>
      <c r="B440" s="1735"/>
      <c r="C440" s="1735"/>
      <c r="D440" s="1735"/>
      <c r="E440" s="1735"/>
      <c r="F440" s="1735"/>
      <c r="G440" s="1735"/>
      <c r="H440" s="1735"/>
      <c r="I440" s="1735"/>
      <c r="J440" s="1735"/>
      <c r="K440" s="1735"/>
      <c r="L440" s="1735"/>
      <c r="M440" s="1735"/>
      <c r="N440" s="1735"/>
      <c r="O440" s="1735"/>
      <c r="P440" s="1735"/>
      <c r="Q440" s="1735"/>
    </row>
    <row r="441" spans="1:19" ht="18">
      <c r="A441" s="1105"/>
      <c r="B441" s="1105" t="s">
        <v>1054</v>
      </c>
      <c r="C441" s="1105"/>
      <c r="D441" s="1105"/>
      <c r="E441" s="1105"/>
      <c r="F441" s="1105"/>
      <c r="G441" s="1105"/>
      <c r="H441" s="1105"/>
      <c r="I441" s="1105"/>
      <c r="J441" s="1105"/>
      <c r="K441" s="1105"/>
      <c r="L441" s="1105"/>
      <c r="M441" s="1105"/>
      <c r="N441" s="1105"/>
      <c r="O441" s="1105"/>
      <c r="P441" s="1105"/>
      <c r="Q441" s="1105"/>
      <c r="R441" s="1105"/>
      <c r="S441" s="1105"/>
    </row>
    <row r="442" spans="1:19">
      <c r="A442" s="103"/>
      <c r="B442" s="103"/>
      <c r="C442" s="103"/>
      <c r="D442" s="103"/>
      <c r="E442" s="103"/>
      <c r="F442" s="103"/>
      <c r="G442" s="103"/>
      <c r="H442" s="103"/>
      <c r="I442" s="103" t="s">
        <v>101</v>
      </c>
      <c r="J442" s="103"/>
      <c r="K442" s="103"/>
      <c r="L442" s="103"/>
      <c r="M442" s="103"/>
      <c r="N442" s="103"/>
      <c r="O442" s="103"/>
      <c r="P442" s="103"/>
      <c r="Q442" s="103"/>
    </row>
    <row r="443" spans="1:19" ht="12.75" customHeight="1">
      <c r="A443" s="103"/>
      <c r="B443" s="103" t="s">
        <v>9</v>
      </c>
      <c r="C443" s="1882" t="s">
        <v>1726</v>
      </c>
      <c r="D443" s="1882"/>
      <c r="E443" s="1882"/>
      <c r="F443" s="1882"/>
      <c r="G443" s="1882"/>
      <c r="H443" s="1882"/>
      <c r="I443" s="1882"/>
      <c r="J443" s="1882"/>
      <c r="K443" s="1882"/>
      <c r="L443" s="1882"/>
      <c r="M443" s="1882"/>
      <c r="N443" s="1882"/>
      <c r="O443" s="1882"/>
      <c r="P443" s="1882"/>
      <c r="Q443" s="1882"/>
    </row>
    <row r="444" spans="1:19">
      <c r="A444" s="103"/>
      <c r="B444" s="103"/>
      <c r="C444" s="1882"/>
      <c r="D444" s="1882"/>
      <c r="E444" s="1882"/>
      <c r="F444" s="1882"/>
      <c r="G444" s="1882"/>
      <c r="H444" s="1882"/>
      <c r="I444" s="1882"/>
      <c r="J444" s="1882"/>
      <c r="K444" s="1882"/>
      <c r="L444" s="1882"/>
      <c r="M444" s="1882"/>
      <c r="N444" s="1882"/>
      <c r="O444" s="1882"/>
      <c r="P444" s="1882"/>
      <c r="Q444" s="1882"/>
    </row>
    <row r="445" spans="1:19">
      <c r="A445" s="103"/>
      <c r="B445" s="103"/>
      <c r="C445" s="1882"/>
      <c r="D445" s="1882"/>
      <c r="E445" s="1882"/>
      <c r="F445" s="1882"/>
      <c r="G445" s="1882"/>
      <c r="H445" s="1882"/>
      <c r="I445" s="1882"/>
      <c r="J445" s="1882"/>
      <c r="K445" s="1882"/>
      <c r="L445" s="1882"/>
      <c r="M445" s="1882"/>
      <c r="N445" s="1882"/>
      <c r="O445" s="1882"/>
      <c r="P445" s="1882"/>
      <c r="Q445" s="1882"/>
    </row>
    <row r="446" spans="1:19">
      <c r="A446" s="103"/>
      <c r="B446" s="103"/>
      <c r="C446" s="1882"/>
      <c r="D446" s="1882"/>
      <c r="E446" s="1882"/>
      <c r="F446" s="1882"/>
      <c r="G446" s="1882"/>
      <c r="H446" s="1882"/>
      <c r="I446" s="1882"/>
      <c r="J446" s="1882"/>
      <c r="K446" s="1882"/>
      <c r="L446" s="1882"/>
      <c r="M446" s="1882"/>
      <c r="N446" s="1882"/>
      <c r="O446" s="1882"/>
      <c r="P446" s="1882"/>
      <c r="Q446" s="1882"/>
    </row>
    <row r="447" spans="1:19">
      <c r="A447" s="103"/>
      <c r="B447" s="103"/>
      <c r="C447" s="1882"/>
      <c r="D447" s="1882"/>
      <c r="E447" s="1882"/>
      <c r="F447" s="1882"/>
      <c r="G447" s="1882"/>
      <c r="H447" s="1882"/>
      <c r="I447" s="1882"/>
      <c r="J447" s="1882"/>
      <c r="K447" s="1882"/>
      <c r="L447" s="1882"/>
      <c r="M447" s="1882"/>
      <c r="N447" s="1882"/>
      <c r="O447" s="1882"/>
      <c r="P447" s="1882"/>
      <c r="Q447" s="1882"/>
    </row>
    <row r="448" spans="1:19">
      <c r="A448" s="103"/>
      <c r="B448" s="103"/>
      <c r="C448" s="1882"/>
      <c r="D448" s="1882"/>
      <c r="E448" s="1882"/>
      <c r="F448" s="1882"/>
      <c r="G448" s="1882"/>
      <c r="H448" s="1882"/>
      <c r="I448" s="1882"/>
      <c r="J448" s="1882"/>
      <c r="K448" s="1882"/>
      <c r="L448" s="1882"/>
      <c r="M448" s="1882"/>
      <c r="N448" s="1882"/>
      <c r="O448" s="1882"/>
      <c r="P448" s="1882"/>
      <c r="Q448" s="1882"/>
    </row>
    <row r="449" spans="1:17">
      <c r="A449" s="103"/>
      <c r="B449" s="103"/>
      <c r="C449" s="1882"/>
      <c r="D449" s="1882"/>
      <c r="E449" s="1882"/>
      <c r="F449" s="1882"/>
      <c r="G449" s="1882"/>
      <c r="H449" s="1882"/>
      <c r="I449" s="1882"/>
      <c r="J449" s="1882"/>
      <c r="K449" s="1882"/>
      <c r="L449" s="1882"/>
      <c r="M449" s="1882"/>
      <c r="N449" s="1882"/>
      <c r="O449" s="1882"/>
      <c r="P449" s="1882"/>
      <c r="Q449" s="1882"/>
    </row>
    <row r="450" spans="1:17" ht="12.75" customHeight="1">
      <c r="A450" s="103"/>
      <c r="B450" s="103" t="s">
        <v>10</v>
      </c>
      <c r="C450" s="1882" t="s">
        <v>1727</v>
      </c>
      <c r="D450" s="1882"/>
      <c r="E450" s="1882"/>
      <c r="F450" s="1882"/>
      <c r="G450" s="1882"/>
      <c r="H450" s="1882"/>
      <c r="I450" s="1882"/>
      <c r="J450" s="1882"/>
      <c r="K450" s="1882"/>
      <c r="L450" s="1882"/>
      <c r="M450" s="1882"/>
      <c r="N450" s="1882"/>
      <c r="O450" s="1882"/>
      <c r="P450" s="1882"/>
      <c r="Q450" s="1882"/>
    </row>
    <row r="451" spans="1:17" ht="12.75" customHeight="1">
      <c r="A451" s="103"/>
      <c r="B451" s="103"/>
      <c r="C451" s="1882"/>
      <c r="D451" s="1882"/>
      <c r="E451" s="1882"/>
      <c r="F451" s="1882"/>
      <c r="G451" s="1882"/>
      <c r="H451" s="1882"/>
      <c r="I451" s="1882"/>
      <c r="J451" s="1882"/>
      <c r="K451" s="1882"/>
      <c r="L451" s="1882"/>
      <c r="M451" s="1882"/>
      <c r="N451" s="1882"/>
      <c r="O451" s="1882"/>
      <c r="P451" s="1882"/>
      <c r="Q451" s="1882"/>
    </row>
    <row r="452" spans="1:17">
      <c r="A452" s="103"/>
      <c r="B452" s="103"/>
      <c r="C452" s="1882"/>
      <c r="D452" s="1882"/>
      <c r="E452" s="1882"/>
      <c r="F452" s="1882"/>
      <c r="G452" s="1882"/>
      <c r="H452" s="1882"/>
      <c r="I452" s="1882"/>
      <c r="J452" s="1882"/>
      <c r="K452" s="1882"/>
      <c r="L452" s="1882"/>
      <c r="M452" s="1882"/>
      <c r="N452" s="1882"/>
      <c r="O452" s="1882"/>
      <c r="P452" s="1882"/>
      <c r="Q452" s="1882"/>
    </row>
    <row r="453" spans="1:17" ht="12.75" customHeight="1">
      <c r="A453" s="103"/>
      <c r="B453" s="103" t="s">
        <v>11</v>
      </c>
      <c r="C453" s="1882" t="s">
        <v>1728</v>
      </c>
      <c r="D453" s="1882"/>
      <c r="E453" s="1882"/>
      <c r="F453" s="1882"/>
      <c r="G453" s="1882"/>
      <c r="H453" s="1882"/>
      <c r="I453" s="1882"/>
      <c r="J453" s="1882"/>
      <c r="K453" s="1882"/>
      <c r="L453" s="1882"/>
      <c r="M453" s="1882"/>
      <c r="N453" s="1882"/>
      <c r="O453" s="1882"/>
      <c r="P453" s="1882"/>
      <c r="Q453" s="1882"/>
    </row>
    <row r="454" spans="1:17" ht="12.75" customHeight="1">
      <c r="A454" s="103"/>
      <c r="B454" s="103"/>
      <c r="C454" s="1882"/>
      <c r="D454" s="1882"/>
      <c r="E454" s="1882"/>
      <c r="F454" s="1882"/>
      <c r="G454" s="1882"/>
      <c r="H454" s="1882"/>
      <c r="I454" s="1882"/>
      <c r="J454" s="1882"/>
      <c r="K454" s="1882"/>
      <c r="L454" s="1882"/>
      <c r="M454" s="1882"/>
      <c r="N454" s="1882"/>
      <c r="O454" s="1882"/>
      <c r="P454" s="1882"/>
      <c r="Q454" s="1882"/>
    </row>
    <row r="455" spans="1:17" ht="12.75" customHeight="1">
      <c r="A455" s="103"/>
      <c r="B455" s="103"/>
      <c r="C455" s="1882"/>
      <c r="D455" s="1882"/>
      <c r="E455" s="1882"/>
      <c r="F455" s="1882"/>
      <c r="G455" s="1882"/>
      <c r="H455" s="1882"/>
      <c r="I455" s="1882"/>
      <c r="J455" s="1882"/>
      <c r="K455" s="1882"/>
      <c r="L455" s="1882"/>
      <c r="M455" s="1882"/>
      <c r="N455" s="1882"/>
      <c r="O455" s="1882"/>
      <c r="P455" s="1882"/>
      <c r="Q455" s="1882"/>
    </row>
    <row r="456" spans="1:17" ht="12.75" customHeight="1">
      <c r="A456" s="103"/>
      <c r="B456" s="103"/>
      <c r="C456" s="1882"/>
      <c r="D456" s="1882"/>
      <c r="E456" s="1882"/>
      <c r="F456" s="1882"/>
      <c r="G456" s="1882"/>
      <c r="H456" s="1882"/>
      <c r="I456" s="1882"/>
      <c r="J456" s="1882"/>
      <c r="K456" s="1882"/>
      <c r="L456" s="1882"/>
      <c r="M456" s="1882"/>
      <c r="N456" s="1882"/>
      <c r="O456" s="1882"/>
      <c r="P456" s="1882"/>
      <c r="Q456" s="1882"/>
    </row>
    <row r="457" spans="1:17" ht="12.75" customHeight="1">
      <c r="A457" s="103"/>
      <c r="B457" s="103"/>
      <c r="C457" s="1882"/>
      <c r="D457" s="1882"/>
      <c r="E457" s="1882"/>
      <c r="F457" s="1882"/>
      <c r="G457" s="1882"/>
      <c r="H457" s="1882"/>
      <c r="I457" s="1882"/>
      <c r="J457" s="1882"/>
      <c r="K457" s="1882"/>
      <c r="L457" s="1882"/>
      <c r="M457" s="1882"/>
      <c r="N457" s="1882"/>
      <c r="O457" s="1882"/>
      <c r="P457" s="1882"/>
      <c r="Q457" s="1882"/>
    </row>
    <row r="458" spans="1:17" ht="12.75" customHeight="1">
      <c r="A458" s="103"/>
      <c r="B458" s="103"/>
      <c r="C458" s="1882"/>
      <c r="D458" s="1882"/>
      <c r="E458" s="1882"/>
      <c r="F458" s="1882"/>
      <c r="G458" s="1882"/>
      <c r="H458" s="1882"/>
      <c r="I458" s="1882"/>
      <c r="J458" s="1882"/>
      <c r="K458" s="1882"/>
      <c r="L458" s="1882"/>
      <c r="M458" s="1882"/>
      <c r="N458" s="1882"/>
      <c r="O458" s="1882"/>
      <c r="P458" s="1882"/>
      <c r="Q458" s="1882"/>
    </row>
    <row r="459" spans="1:17">
      <c r="A459" s="103"/>
      <c r="B459" s="103"/>
      <c r="C459" s="1882"/>
      <c r="D459" s="1882"/>
      <c r="E459" s="1882"/>
      <c r="F459" s="1882"/>
      <c r="G459" s="1882"/>
      <c r="H459" s="1882"/>
      <c r="I459" s="1882"/>
      <c r="J459" s="1882"/>
      <c r="K459" s="1882"/>
      <c r="L459" s="1882"/>
      <c r="M459" s="1882"/>
      <c r="N459" s="1882"/>
      <c r="O459" s="1882"/>
      <c r="P459" s="1882"/>
      <c r="Q459" s="1882"/>
    </row>
    <row r="460" spans="1:17" ht="12.75" customHeight="1">
      <c r="A460" s="103"/>
      <c r="B460" s="103" t="s">
        <v>14</v>
      </c>
      <c r="C460" s="1882" t="s">
        <v>1729</v>
      </c>
      <c r="D460" s="1882"/>
      <c r="E460" s="1882"/>
      <c r="F460" s="1882"/>
      <c r="G460" s="1882"/>
      <c r="H460" s="1882"/>
      <c r="I460" s="1882"/>
      <c r="J460" s="1882"/>
      <c r="K460" s="1882"/>
      <c r="L460" s="1882"/>
      <c r="M460" s="1882"/>
      <c r="N460" s="1882"/>
      <c r="O460" s="1882"/>
      <c r="P460" s="1882"/>
      <c r="Q460" s="1882"/>
    </row>
    <row r="461" spans="1:17">
      <c r="A461" s="103"/>
      <c r="B461" s="103"/>
      <c r="C461" s="1882"/>
      <c r="D461" s="1882"/>
      <c r="E461" s="1882"/>
      <c r="F461" s="1882"/>
      <c r="G461" s="1882"/>
      <c r="H461" s="1882"/>
      <c r="I461" s="1882"/>
      <c r="J461" s="1882"/>
      <c r="K461" s="1882"/>
      <c r="L461" s="1882"/>
      <c r="M461" s="1882"/>
      <c r="N461" s="1882"/>
      <c r="O461" s="1882"/>
      <c r="P461" s="1882"/>
      <c r="Q461" s="1882"/>
    </row>
    <row r="462" spans="1:17">
      <c r="A462" s="103"/>
      <c r="B462" s="103"/>
      <c r="C462" s="1882"/>
      <c r="D462" s="1882"/>
      <c r="E462" s="1882"/>
      <c r="F462" s="1882"/>
      <c r="G462" s="1882"/>
      <c r="H462" s="1882"/>
      <c r="I462" s="1882"/>
      <c r="J462" s="1882"/>
      <c r="K462" s="1882"/>
      <c r="L462" s="1882"/>
      <c r="M462" s="1882"/>
      <c r="N462" s="1882"/>
      <c r="O462" s="1882"/>
      <c r="P462" s="1882"/>
      <c r="Q462" s="1882"/>
    </row>
    <row r="463" spans="1:17">
      <c r="A463" s="103"/>
      <c r="B463" s="103"/>
      <c r="C463" s="1882"/>
      <c r="D463" s="1882"/>
      <c r="E463" s="1882"/>
      <c r="F463" s="1882"/>
      <c r="G463" s="1882"/>
      <c r="H463" s="1882"/>
      <c r="I463" s="1882"/>
      <c r="J463" s="1882"/>
      <c r="K463" s="1882"/>
      <c r="L463" s="1882"/>
      <c r="M463" s="1882"/>
      <c r="N463" s="1882"/>
      <c r="O463" s="1882"/>
      <c r="P463" s="1882"/>
      <c r="Q463" s="1882"/>
    </row>
    <row r="464" spans="1:17">
      <c r="A464" s="103"/>
      <c r="B464" s="103"/>
      <c r="C464" s="1882"/>
      <c r="D464" s="1882"/>
      <c r="E464" s="1882"/>
      <c r="F464" s="1882"/>
      <c r="G464" s="1882"/>
      <c r="H464" s="1882"/>
      <c r="I464" s="1882"/>
      <c r="J464" s="1882"/>
      <c r="K464" s="1882"/>
      <c r="L464" s="1882"/>
      <c r="M464" s="1882"/>
      <c r="N464" s="1882"/>
      <c r="O464" s="1882"/>
      <c r="P464" s="1882"/>
      <c r="Q464" s="1882"/>
    </row>
    <row r="465" spans="1:17">
      <c r="A465" s="103"/>
      <c r="B465" s="103"/>
      <c r="C465" s="1882"/>
      <c r="D465" s="1882"/>
      <c r="E465" s="1882"/>
      <c r="F465" s="1882"/>
      <c r="G465" s="1882"/>
      <c r="H465" s="1882"/>
      <c r="I465" s="1882"/>
      <c r="J465" s="1882"/>
      <c r="K465" s="1882"/>
      <c r="L465" s="1882"/>
      <c r="M465" s="1882"/>
      <c r="N465" s="1882"/>
      <c r="O465" s="1882"/>
      <c r="P465" s="1882"/>
      <c r="Q465" s="1882"/>
    </row>
    <row r="466" spans="1:17">
      <c r="A466" s="103"/>
      <c r="B466" s="103"/>
      <c r="C466" s="1882"/>
      <c r="D466" s="1882"/>
      <c r="E466" s="1882"/>
      <c r="F466" s="1882"/>
      <c r="G466" s="1882"/>
      <c r="H466" s="1882"/>
      <c r="I466" s="1882"/>
      <c r="J466" s="1882"/>
      <c r="K466" s="1882"/>
      <c r="L466" s="1882"/>
      <c r="M466" s="1882"/>
      <c r="N466" s="1882"/>
      <c r="O466" s="1882"/>
      <c r="P466" s="1882"/>
      <c r="Q466" s="1882"/>
    </row>
    <row r="467" spans="1:17" ht="12.75" customHeight="1">
      <c r="A467" s="103"/>
      <c r="B467" s="103" t="s">
        <v>166</v>
      </c>
      <c r="C467" s="1882" t="s">
        <v>1730</v>
      </c>
      <c r="D467" s="1882"/>
      <c r="E467" s="1882"/>
      <c r="F467" s="1882"/>
      <c r="G467" s="1882"/>
      <c r="H467" s="1882"/>
      <c r="I467" s="1882"/>
      <c r="J467" s="1882"/>
      <c r="K467" s="1882"/>
      <c r="L467" s="1882"/>
      <c r="M467" s="1882"/>
      <c r="N467" s="1882"/>
      <c r="O467" s="1882"/>
      <c r="P467" s="1882"/>
      <c r="Q467" s="1882"/>
    </row>
    <row r="468" spans="1:17">
      <c r="A468" s="103"/>
      <c r="B468" s="103"/>
      <c r="C468" s="1882"/>
      <c r="D468" s="1882"/>
      <c r="E468" s="1882"/>
      <c r="F468" s="1882"/>
      <c r="G468" s="1882"/>
      <c r="H468" s="1882"/>
      <c r="I468" s="1882"/>
      <c r="J468" s="1882"/>
      <c r="K468" s="1882"/>
      <c r="L468" s="1882"/>
      <c r="M468" s="1882"/>
      <c r="N468" s="1882"/>
      <c r="O468" s="1882"/>
      <c r="P468" s="1882"/>
      <c r="Q468" s="1882"/>
    </row>
    <row r="469" spans="1:17">
      <c r="A469" s="103"/>
      <c r="B469" s="103"/>
      <c r="C469" s="1882"/>
      <c r="D469" s="1882"/>
      <c r="E469" s="1882"/>
      <c r="F469" s="1882"/>
      <c r="G469" s="1882"/>
      <c r="H469" s="1882"/>
      <c r="I469" s="1882"/>
      <c r="J469" s="1882"/>
      <c r="K469" s="1882"/>
      <c r="L469" s="1882"/>
      <c r="M469" s="1882"/>
      <c r="N469" s="1882"/>
      <c r="O469" s="1882"/>
      <c r="P469" s="1882"/>
      <c r="Q469" s="1882"/>
    </row>
    <row r="470" spans="1:17">
      <c r="A470" s="103"/>
      <c r="B470" s="103"/>
      <c r="C470" s="1882"/>
      <c r="D470" s="1882"/>
      <c r="E470" s="1882"/>
      <c r="F470" s="1882"/>
      <c r="G470" s="1882"/>
      <c r="H470" s="1882"/>
      <c r="I470" s="1882"/>
      <c r="J470" s="1882"/>
      <c r="K470" s="1882"/>
      <c r="L470" s="1882"/>
      <c r="M470" s="1882"/>
      <c r="N470" s="1882"/>
      <c r="O470" s="1882"/>
      <c r="P470" s="1882"/>
      <c r="Q470" s="1882"/>
    </row>
    <row r="471" spans="1:17">
      <c r="A471" s="103"/>
      <c r="B471" s="103"/>
      <c r="C471" s="1882"/>
      <c r="D471" s="1882"/>
      <c r="E471" s="1882"/>
      <c r="F471" s="1882"/>
      <c r="G471" s="1882"/>
      <c r="H471" s="1882"/>
      <c r="I471" s="1882"/>
      <c r="J471" s="1882"/>
      <c r="K471" s="1882"/>
      <c r="L471" s="1882"/>
      <c r="M471" s="1882"/>
      <c r="N471" s="1882"/>
      <c r="O471" s="1882"/>
      <c r="P471" s="1882"/>
      <c r="Q471" s="1882"/>
    </row>
    <row r="472" spans="1:17">
      <c r="A472" s="103"/>
      <c r="B472" s="103"/>
      <c r="C472" s="1882"/>
      <c r="D472" s="1882"/>
      <c r="E472" s="1882"/>
      <c r="F472" s="1882"/>
      <c r="G472" s="1882"/>
      <c r="H472" s="1882"/>
      <c r="I472" s="1882"/>
      <c r="J472" s="1882"/>
      <c r="K472" s="1882"/>
      <c r="L472" s="1882"/>
      <c r="M472" s="1882"/>
      <c r="N472" s="1882"/>
      <c r="O472" s="1882"/>
      <c r="P472" s="1882"/>
      <c r="Q472" s="1882"/>
    </row>
    <row r="473" spans="1:17">
      <c r="A473" s="103"/>
      <c r="B473" s="103"/>
      <c r="C473" s="1882"/>
      <c r="D473" s="1882"/>
      <c r="E473" s="1882"/>
      <c r="F473" s="1882"/>
      <c r="G473" s="1882"/>
      <c r="H473" s="1882"/>
      <c r="I473" s="1882"/>
      <c r="J473" s="1882"/>
      <c r="K473" s="1882"/>
      <c r="L473" s="1882"/>
      <c r="M473" s="1882"/>
      <c r="N473" s="1882"/>
      <c r="O473" s="1882"/>
      <c r="P473" s="1882"/>
      <c r="Q473" s="1882"/>
    </row>
    <row r="474" spans="1:17" ht="12.75" customHeight="1">
      <c r="A474" s="103"/>
      <c r="B474" s="103" t="s">
        <v>169</v>
      </c>
      <c r="C474" s="1882" t="s">
        <v>1731</v>
      </c>
      <c r="D474" s="1882"/>
      <c r="E474" s="1882"/>
      <c r="F474" s="1882"/>
      <c r="G474" s="1882"/>
      <c r="H474" s="1882"/>
      <c r="I474" s="1882"/>
      <c r="J474" s="1882"/>
      <c r="K474" s="1882"/>
      <c r="L474" s="1882"/>
      <c r="M474" s="1882"/>
      <c r="N474" s="1882"/>
      <c r="O474" s="1882"/>
      <c r="P474" s="1882"/>
      <c r="Q474" s="1882"/>
    </row>
    <row r="475" spans="1:17">
      <c r="A475" s="103"/>
      <c r="B475" s="103"/>
      <c r="C475" s="1882"/>
      <c r="D475" s="1882"/>
      <c r="E475" s="1882"/>
      <c r="F475" s="1882"/>
      <c r="G475" s="1882"/>
      <c r="H475" s="1882"/>
      <c r="I475" s="1882"/>
      <c r="J475" s="1882"/>
      <c r="K475" s="1882"/>
      <c r="L475" s="1882"/>
      <c r="M475" s="1882"/>
      <c r="N475" s="1882"/>
      <c r="O475" s="1882"/>
      <c r="P475" s="1882"/>
      <c r="Q475" s="1882"/>
    </row>
    <row r="476" spans="1:17">
      <c r="A476" s="103"/>
      <c r="B476" s="103"/>
      <c r="C476" s="1882"/>
      <c r="D476" s="1882"/>
      <c r="E476" s="1882"/>
      <c r="F476" s="1882"/>
      <c r="G476" s="1882"/>
      <c r="H476" s="1882"/>
      <c r="I476" s="1882"/>
      <c r="J476" s="1882"/>
      <c r="K476" s="1882"/>
      <c r="L476" s="1882"/>
      <c r="M476" s="1882"/>
      <c r="N476" s="1882"/>
      <c r="O476" s="1882"/>
      <c r="P476" s="1882"/>
      <c r="Q476" s="1882"/>
    </row>
    <row r="477" spans="1:17">
      <c r="A477" s="103"/>
      <c r="B477" s="103"/>
      <c r="C477" s="1882"/>
      <c r="D477" s="1882"/>
      <c r="E477" s="1882"/>
      <c r="F477" s="1882"/>
      <c r="G477" s="1882"/>
      <c r="H477" s="1882"/>
      <c r="I477" s="1882"/>
      <c r="J477" s="1882"/>
      <c r="K477" s="1882"/>
      <c r="L477" s="1882"/>
      <c r="M477" s="1882"/>
      <c r="N477" s="1882"/>
      <c r="O477" s="1882"/>
      <c r="P477" s="1882"/>
      <c r="Q477" s="1882"/>
    </row>
    <row r="478" spans="1:17">
      <c r="A478" s="103"/>
      <c r="B478" s="103"/>
      <c r="C478" s="1882"/>
      <c r="D478" s="1882"/>
      <c r="E478" s="1882"/>
      <c r="F478" s="1882"/>
      <c r="G478" s="1882"/>
      <c r="H478" s="1882"/>
      <c r="I478" s="1882"/>
      <c r="J478" s="1882"/>
      <c r="K478" s="1882"/>
      <c r="L478" s="1882"/>
      <c r="M478" s="1882"/>
      <c r="N478" s="1882"/>
      <c r="O478" s="1882"/>
      <c r="P478" s="1882"/>
      <c r="Q478" s="1882"/>
    </row>
    <row r="479" spans="1:17">
      <c r="A479" s="103"/>
      <c r="B479" s="103"/>
      <c r="C479" s="1882"/>
      <c r="D479" s="1882"/>
      <c r="E479" s="1882"/>
      <c r="F479" s="1882"/>
      <c r="G479" s="1882"/>
      <c r="H479" s="1882"/>
      <c r="I479" s="1882"/>
      <c r="J479" s="1882"/>
      <c r="K479" s="1882"/>
      <c r="L479" s="1882"/>
      <c r="M479" s="1882"/>
      <c r="N479" s="1882"/>
      <c r="O479" s="1882"/>
      <c r="P479" s="1882"/>
      <c r="Q479" s="1882"/>
    </row>
    <row r="480" spans="1:17" ht="12.75" customHeight="1">
      <c r="A480" s="103"/>
      <c r="B480" s="103" t="s">
        <v>171</v>
      </c>
      <c r="C480" s="1882" t="s">
        <v>1732</v>
      </c>
      <c r="D480" s="1882"/>
      <c r="E480" s="1882"/>
      <c r="F480" s="1882"/>
      <c r="G480" s="1882"/>
      <c r="H480" s="1882"/>
      <c r="I480" s="1882"/>
      <c r="J480" s="1882"/>
      <c r="K480" s="1882"/>
      <c r="L480" s="1882"/>
      <c r="M480" s="1882"/>
      <c r="N480" s="1882"/>
      <c r="O480" s="1882"/>
      <c r="P480" s="1882"/>
      <c r="Q480" s="1882"/>
    </row>
    <row r="481" spans="1:19">
      <c r="A481" s="103"/>
      <c r="B481" s="103"/>
      <c r="C481" s="1882"/>
      <c r="D481" s="1882"/>
      <c r="E481" s="1882"/>
      <c r="F481" s="1882"/>
      <c r="G481" s="1882"/>
      <c r="H481" s="1882"/>
      <c r="I481" s="1882"/>
      <c r="J481" s="1882"/>
      <c r="K481" s="1882"/>
      <c r="L481" s="1882"/>
      <c r="M481" s="1882"/>
      <c r="N481" s="1882"/>
      <c r="O481" s="1882"/>
      <c r="P481" s="1882"/>
      <c r="Q481" s="1882"/>
    </row>
    <row r="482" spans="1:19">
      <c r="A482" s="103"/>
      <c r="B482" s="103"/>
      <c r="C482" s="1882"/>
      <c r="D482" s="1882"/>
      <c r="E482" s="1882"/>
      <c r="F482" s="1882"/>
      <c r="G482" s="1882"/>
      <c r="H482" s="1882"/>
      <c r="I482" s="1882"/>
      <c r="J482" s="1882"/>
      <c r="K482" s="1882"/>
      <c r="L482" s="1882"/>
      <c r="M482" s="1882"/>
      <c r="N482" s="1882"/>
      <c r="O482" s="1882"/>
      <c r="P482" s="1882"/>
      <c r="Q482" s="1882"/>
    </row>
    <row r="483" spans="1:19">
      <c r="A483" s="103"/>
      <c r="B483" s="103"/>
      <c r="C483" s="1882"/>
      <c r="D483" s="1882"/>
      <c r="E483" s="1882"/>
      <c r="F483" s="1882"/>
      <c r="G483" s="1882"/>
      <c r="H483" s="1882"/>
      <c r="I483" s="1882"/>
      <c r="J483" s="1882"/>
      <c r="K483" s="1882"/>
      <c r="L483" s="1882"/>
      <c r="M483" s="1882"/>
      <c r="N483" s="1882"/>
      <c r="O483" s="1882"/>
      <c r="P483" s="1882"/>
      <c r="Q483" s="1882"/>
    </row>
    <row r="484" spans="1:19">
      <c r="A484" s="103"/>
      <c r="B484" s="103"/>
      <c r="C484" s="1882"/>
      <c r="D484" s="1882"/>
      <c r="E484" s="1882"/>
      <c r="F484" s="1882"/>
      <c r="G484" s="1882"/>
      <c r="H484" s="1882"/>
      <c r="I484" s="1882"/>
      <c r="J484" s="1882"/>
      <c r="K484" s="1882"/>
      <c r="L484" s="1882"/>
      <c r="M484" s="1882"/>
      <c r="N484" s="1882"/>
      <c r="O484" s="1882"/>
      <c r="P484" s="1882"/>
      <c r="Q484" s="1882"/>
    </row>
    <row r="485" spans="1:19">
      <c r="A485" s="103"/>
      <c r="B485" s="103"/>
      <c r="C485" s="1882"/>
      <c r="D485" s="1882"/>
      <c r="E485" s="1882"/>
      <c r="F485" s="1882"/>
      <c r="G485" s="1882"/>
      <c r="H485" s="1882"/>
      <c r="I485" s="1882"/>
      <c r="J485" s="1882"/>
      <c r="K485" s="1882"/>
      <c r="L485" s="1882"/>
      <c r="M485" s="1882"/>
      <c r="N485" s="1882"/>
      <c r="O485" s="1882"/>
      <c r="P485" s="1882"/>
      <c r="Q485" s="1882"/>
    </row>
    <row r="486" spans="1:19">
      <c r="A486" s="103"/>
      <c r="B486" s="103"/>
      <c r="C486" s="1882"/>
      <c r="D486" s="1882"/>
      <c r="E486" s="1882"/>
      <c r="F486" s="1882"/>
      <c r="G486" s="1882"/>
      <c r="H486" s="1882"/>
      <c r="I486" s="1882"/>
      <c r="J486" s="1882"/>
      <c r="K486" s="1882"/>
      <c r="L486" s="1882"/>
      <c r="M486" s="1882"/>
      <c r="N486" s="1882"/>
      <c r="O486" s="1882"/>
      <c r="P486" s="1882"/>
      <c r="Q486" s="1882"/>
    </row>
    <row r="487" spans="1:19" ht="12.75" customHeight="1">
      <c r="A487" s="103"/>
      <c r="B487" s="103" t="s">
        <v>660</v>
      </c>
      <c r="C487" s="1882" t="s">
        <v>1733</v>
      </c>
      <c r="D487" s="1882"/>
      <c r="E487" s="1882"/>
      <c r="F487" s="1882"/>
      <c r="G487" s="1882"/>
      <c r="H487" s="1882"/>
      <c r="I487" s="1882"/>
      <c r="J487" s="1882"/>
      <c r="K487" s="1882"/>
      <c r="L487" s="1882"/>
      <c r="M487" s="1882"/>
      <c r="N487" s="1882"/>
      <c r="O487" s="1882"/>
      <c r="P487" s="1882"/>
      <c r="Q487" s="1882"/>
    </row>
    <row r="488" spans="1:19" ht="12.75" customHeight="1">
      <c r="A488" s="103"/>
      <c r="B488" s="103"/>
      <c r="C488" s="1882"/>
      <c r="D488" s="1882"/>
      <c r="E488" s="1882"/>
      <c r="F488" s="1882"/>
      <c r="G488" s="1882"/>
      <c r="H488" s="1882"/>
      <c r="I488" s="1882"/>
      <c r="J488" s="1882"/>
      <c r="K488" s="1882"/>
      <c r="L488" s="1882"/>
      <c r="M488" s="1882"/>
      <c r="N488" s="1882"/>
      <c r="O488" s="1882"/>
      <c r="P488" s="1882"/>
      <c r="Q488" s="1882"/>
    </row>
    <row r="489" spans="1:19" ht="12.75" customHeight="1">
      <c r="A489" s="103"/>
      <c r="B489" s="103"/>
      <c r="C489" s="1882"/>
      <c r="D489" s="1882"/>
      <c r="E489" s="1882"/>
      <c r="F489" s="1882"/>
      <c r="G489" s="1882"/>
      <c r="H489" s="1882"/>
      <c r="I489" s="1882"/>
      <c r="J489" s="1882"/>
      <c r="K489" s="1882"/>
      <c r="L489" s="1882"/>
      <c r="M489" s="1882"/>
      <c r="N489" s="1882"/>
      <c r="O489" s="1882"/>
      <c r="P489" s="1882"/>
      <c r="Q489" s="1882"/>
    </row>
    <row r="490" spans="1:19" ht="12.75" customHeight="1">
      <c r="A490" s="103"/>
      <c r="B490" s="103"/>
      <c r="C490" s="1882"/>
      <c r="D490" s="1882"/>
      <c r="E490" s="1882"/>
      <c r="F490" s="1882"/>
      <c r="G490" s="1882"/>
      <c r="H490" s="1882"/>
      <c r="I490" s="1882"/>
      <c r="J490" s="1882"/>
      <c r="K490" s="1882"/>
      <c r="L490" s="1882"/>
      <c r="M490" s="1882"/>
      <c r="N490" s="1882"/>
      <c r="O490" s="1882"/>
      <c r="P490" s="1882"/>
      <c r="Q490" s="1882"/>
    </row>
    <row r="491" spans="1:19">
      <c r="A491" s="103"/>
      <c r="B491" s="103"/>
      <c r="C491" s="1882"/>
      <c r="D491" s="1882"/>
      <c r="E491" s="1882"/>
      <c r="F491" s="1882"/>
      <c r="G491" s="1882"/>
      <c r="H491" s="1882"/>
      <c r="I491" s="1882"/>
      <c r="J491" s="1882"/>
      <c r="K491" s="1882"/>
      <c r="L491" s="1882"/>
      <c r="M491" s="1882"/>
      <c r="N491" s="1882"/>
      <c r="O491" s="1882"/>
      <c r="P491" s="1882"/>
      <c r="Q491" s="1882"/>
    </row>
    <row r="492" spans="1:19">
      <c r="A492" s="103"/>
      <c r="B492" s="103"/>
      <c r="C492" s="1882"/>
      <c r="D492" s="1882"/>
      <c r="E492" s="1882"/>
      <c r="F492" s="1882"/>
      <c r="G492" s="1882"/>
      <c r="H492" s="1882"/>
      <c r="I492" s="1882"/>
      <c r="J492" s="1882"/>
      <c r="K492" s="1882"/>
      <c r="L492" s="1882"/>
      <c r="M492" s="1882"/>
      <c r="N492" s="1882"/>
      <c r="O492" s="1882"/>
      <c r="P492" s="1882"/>
      <c r="Q492" s="1882"/>
    </row>
    <row r="493" spans="1:19">
      <c r="A493" s="103"/>
      <c r="B493" s="103"/>
      <c r="C493" s="1882"/>
      <c r="D493" s="1882"/>
      <c r="E493" s="1882"/>
      <c r="F493" s="1882"/>
      <c r="G493" s="1882"/>
      <c r="H493" s="1882"/>
      <c r="I493" s="1882"/>
      <c r="J493" s="1882"/>
      <c r="K493" s="1882"/>
      <c r="L493" s="1882"/>
      <c r="M493" s="1882"/>
      <c r="N493" s="1882"/>
      <c r="O493" s="1882"/>
      <c r="P493" s="1882"/>
      <c r="Q493" s="1882"/>
    </row>
    <row r="494" spans="1:19">
      <c r="A494" s="103"/>
      <c r="B494" s="103"/>
      <c r="C494" s="103"/>
      <c r="D494" s="103"/>
      <c r="E494" s="1655"/>
      <c r="F494" s="1655"/>
      <c r="G494" s="1655"/>
      <c r="H494" s="1655"/>
      <c r="I494" s="1655"/>
      <c r="J494" s="1655"/>
      <c r="K494" s="1655"/>
      <c r="L494" s="1655"/>
      <c r="M494" s="1655"/>
      <c r="N494" s="1655"/>
      <c r="O494" s="1655"/>
      <c r="P494" s="1655"/>
      <c r="Q494" s="1655"/>
    </row>
    <row r="495" spans="1:19">
      <c r="E495" s="1728"/>
      <c r="F495" s="1728"/>
      <c r="G495" s="1728"/>
      <c r="H495" s="1728"/>
      <c r="I495" s="1728"/>
      <c r="J495" s="1728"/>
      <c r="K495" s="1728"/>
      <c r="L495" s="1728"/>
      <c r="M495" s="1728"/>
      <c r="N495" s="1728"/>
      <c r="O495" s="1728"/>
      <c r="P495" s="1728"/>
      <c r="Q495" s="1728"/>
    </row>
    <row r="496" spans="1:19" ht="15.75">
      <c r="A496" s="1614" t="s">
        <v>598</v>
      </c>
      <c r="B496" s="1614"/>
      <c r="C496" s="1614"/>
      <c r="D496" s="1614"/>
      <c r="E496" s="1615"/>
      <c r="F496" s="324"/>
      <c r="G496" s="324"/>
      <c r="H496" s="757"/>
      <c r="I496" s="324"/>
      <c r="J496" s="324"/>
      <c r="K496" s="324"/>
      <c r="L496" s="324"/>
      <c r="M496" s="324"/>
      <c r="N496" s="324"/>
      <c r="O496" s="324"/>
      <c r="P496" s="324"/>
      <c r="Q496" s="324"/>
      <c r="R496" s="324"/>
      <c r="S496" s="324"/>
    </row>
  </sheetData>
  <mergeCells count="102">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 ref="C97:Q97"/>
    <mergeCell ref="C100:C101"/>
    <mergeCell ref="E100:E101"/>
    <mergeCell ref="G100:G101"/>
    <mergeCell ref="I100:I101"/>
    <mergeCell ref="O100:O101"/>
    <mergeCell ref="C62:Q62"/>
    <mergeCell ref="C65:C66"/>
    <mergeCell ref="E65:E66"/>
    <mergeCell ref="G65:G66"/>
    <mergeCell ref="I65:I66"/>
    <mergeCell ref="O65:O66"/>
    <mergeCell ref="C133:C134"/>
    <mergeCell ref="E133:E134"/>
    <mergeCell ref="G133:G134"/>
    <mergeCell ref="I133:I134"/>
    <mergeCell ref="O133:O134"/>
    <mergeCell ref="C166:Q166"/>
    <mergeCell ref="C115:Q115"/>
    <mergeCell ref="C118:C119"/>
    <mergeCell ref="E118:E119"/>
    <mergeCell ref="G118:I119"/>
    <mergeCell ref="C128:Q128"/>
    <mergeCell ref="C130:Q130"/>
    <mergeCell ref="C205:C206"/>
    <mergeCell ref="E205:E206"/>
    <mergeCell ref="G205:G206"/>
    <mergeCell ref="I205:I206"/>
    <mergeCell ref="O205:O206"/>
    <mergeCell ref="E238:Q238"/>
    <mergeCell ref="C169:C170"/>
    <mergeCell ref="E169:E170"/>
    <mergeCell ref="G169:G170"/>
    <mergeCell ref="I169:I170"/>
    <mergeCell ref="O169:O170"/>
    <mergeCell ref="C202:Q202"/>
    <mergeCell ref="C277:C278"/>
    <mergeCell ref="E277:E278"/>
    <mergeCell ref="G277:G278"/>
    <mergeCell ref="I277:I278"/>
    <mergeCell ref="O277:O278"/>
    <mergeCell ref="E310:Q310"/>
    <mergeCell ref="C241:C242"/>
    <mergeCell ref="E241:E242"/>
    <mergeCell ref="G241:G242"/>
    <mergeCell ref="I241:I242"/>
    <mergeCell ref="O241:O242"/>
    <mergeCell ref="E274:Q274"/>
    <mergeCell ref="C349:C350"/>
    <mergeCell ref="E349:E350"/>
    <mergeCell ref="G349:G350"/>
    <mergeCell ref="I349:I350"/>
    <mergeCell ref="O349:O350"/>
    <mergeCell ref="E382:Q382"/>
    <mergeCell ref="C313:C314"/>
    <mergeCell ref="E313:E314"/>
    <mergeCell ref="G313:G314"/>
    <mergeCell ref="I313:I314"/>
    <mergeCell ref="O313:O314"/>
    <mergeCell ref="C346:Q346"/>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453:Q459"/>
    <mergeCell ref="C460:Q466"/>
    <mergeCell ref="C467:Q473"/>
    <mergeCell ref="C474:Q479"/>
    <mergeCell ref="C480:Q486"/>
    <mergeCell ref="C487:Q493"/>
    <mergeCell ref="B429:Q431"/>
    <mergeCell ref="B432:Q434"/>
    <mergeCell ref="B435:Q437"/>
    <mergeCell ref="B438:Q439"/>
    <mergeCell ref="C443:Q449"/>
    <mergeCell ref="C450:Q452"/>
  </mergeCells>
  <pageMargins left="0.7" right="0.7" top="0.75" bottom="0.75" header="0.3" footer="0.3"/>
  <pageSetup scale="41" orientation="landscape" r:id="rId1"/>
  <rowBreaks count="5" manualBreakCount="5">
    <brk id="63" max="16383" man="1"/>
    <brk id="164" max="16383" man="1"/>
    <brk id="272" max="16383" man="1"/>
    <brk id="380" max="19" man="1"/>
    <brk id="43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8ACE-C308-4348-85A5-EACCDCCC59A8}">
  <dimension ref="A1:FF357"/>
  <sheetViews>
    <sheetView topLeftCell="M133" zoomScale="60" zoomScaleNormal="60" workbookViewId="0">
      <selection activeCell="J164" sqref="J164"/>
    </sheetView>
  </sheetViews>
  <sheetFormatPr defaultColWidth="9.140625" defaultRowHeight="12.75"/>
  <cols>
    <col min="1" max="1" width="9.140625" style="1656" customWidth="1"/>
    <col min="2" max="2" width="9.42578125" style="1658" customWidth="1"/>
    <col min="3" max="3" width="75.28515625" style="1658" customWidth="1"/>
    <col min="4" max="4" width="50.7109375" style="1658" bestFit="1" customWidth="1"/>
    <col min="5" max="5" width="25.85546875" style="1658" bestFit="1" customWidth="1"/>
    <col min="6" max="6" width="23.42578125" style="1656" bestFit="1" customWidth="1"/>
    <col min="7" max="7" width="23" style="1656" bestFit="1" customWidth="1"/>
    <col min="8" max="9" width="21.42578125" style="1656" customWidth="1"/>
    <col min="10" max="10" width="25.42578125" style="1656" bestFit="1" customWidth="1"/>
    <col min="11" max="11" width="5.42578125" style="1656" customWidth="1"/>
    <col min="12" max="12" width="23" style="1656" bestFit="1" customWidth="1"/>
    <col min="13" max="15" width="21.42578125" style="1656" customWidth="1"/>
    <col min="16" max="16" width="25.140625" style="1656" bestFit="1" customWidth="1"/>
    <col min="17" max="17" width="2.7109375" style="1656" customWidth="1"/>
    <col min="18" max="18" width="26.5703125" style="1656" customWidth="1"/>
    <col min="19" max="19" width="2.7109375" style="1656" customWidth="1"/>
    <col min="20" max="20" width="21.42578125" style="1656" customWidth="1"/>
    <col min="21" max="21" width="2.7109375" style="1656" customWidth="1"/>
    <col min="22" max="22" width="24.28515625" style="1656" customWidth="1"/>
    <col min="23" max="23" width="2.7109375" style="1656" customWidth="1"/>
    <col min="24" max="24" width="26.5703125" style="1656" customWidth="1"/>
    <col min="25" max="25" width="2.7109375" style="1656" customWidth="1"/>
    <col min="26" max="26" width="22.7109375" style="1658" customWidth="1"/>
    <col min="27" max="27" width="2.7109375" style="1656" customWidth="1"/>
    <col min="28" max="28" width="18.7109375" style="1658" customWidth="1"/>
    <col min="29" max="29" width="2.7109375" style="1656" customWidth="1"/>
    <col min="30" max="30" width="14.42578125" style="1656" customWidth="1"/>
    <col min="31" max="31" width="2.42578125" style="1656" customWidth="1"/>
    <col min="32" max="32" width="31.85546875" style="1656" bestFit="1" customWidth="1"/>
    <col min="33" max="33" width="2.42578125" style="1656" customWidth="1"/>
    <col min="34" max="34" width="19.85546875" style="1657" customWidth="1"/>
    <col min="35" max="35" width="2.42578125" style="1657" customWidth="1"/>
    <col min="36" max="16384" width="9.140625" style="1656"/>
  </cols>
  <sheetData>
    <row r="1" spans="1:162" ht="15">
      <c r="A1" s="1634" t="s">
        <v>344</v>
      </c>
      <c r="B1" s="1634"/>
      <c r="C1" s="1656"/>
      <c r="D1" s="1656"/>
      <c r="E1" s="1656"/>
      <c r="X1" s="1634"/>
      <c r="Z1" s="1656"/>
      <c r="AB1" s="1656"/>
    </row>
    <row r="2" spans="1:162" ht="15">
      <c r="A2" s="1634" t="s">
        <v>1734</v>
      </c>
      <c r="B2" s="1634"/>
      <c r="C2" s="1656"/>
      <c r="D2" s="1656"/>
      <c r="E2" s="1656"/>
      <c r="X2" s="1634"/>
      <c r="Z2" s="1656"/>
      <c r="AB2" s="1656"/>
    </row>
    <row r="3" spans="1:162" ht="15">
      <c r="A3" s="1634" t="s">
        <v>1735</v>
      </c>
      <c r="B3" s="1634"/>
      <c r="C3" s="1656"/>
      <c r="D3" s="1656"/>
      <c r="E3" s="1656"/>
      <c r="Z3" s="1656"/>
      <c r="AB3" s="1656"/>
    </row>
    <row r="4" spans="1:162" ht="15">
      <c r="B4" s="1634"/>
    </row>
    <row r="5" spans="1:162" ht="19.5">
      <c r="B5" s="1899" t="s">
        <v>1682</v>
      </c>
      <c r="C5" s="1900"/>
      <c r="D5" s="1900"/>
      <c r="E5" s="1900"/>
      <c r="F5" s="1900"/>
      <c r="G5" s="1900"/>
      <c r="H5" s="1900"/>
      <c r="I5" s="1900"/>
      <c r="J5" s="1900"/>
      <c r="K5" s="1900"/>
      <c r="L5" s="1900"/>
      <c r="M5" s="1900"/>
      <c r="N5" s="1900"/>
      <c r="O5" s="1900"/>
      <c r="P5" s="1900"/>
      <c r="Q5" s="1900"/>
      <c r="R5" s="1900"/>
      <c r="S5" s="1900"/>
      <c r="T5" s="1900"/>
      <c r="U5" s="1900"/>
      <c r="V5" s="1900"/>
      <c r="W5" s="1900"/>
      <c r="X5" s="1900"/>
      <c r="Y5" s="1900"/>
      <c r="Z5" s="1900"/>
      <c r="AA5" s="1900"/>
      <c r="AB5" s="1900"/>
      <c r="AC5" s="1900"/>
      <c r="AD5" s="1900"/>
      <c r="AE5" s="1900"/>
      <c r="AF5" s="1900"/>
      <c r="AG5" s="1900"/>
      <c r="AH5" s="1901"/>
    </row>
    <row r="6" spans="1:162" ht="15">
      <c r="B6" s="1634"/>
    </row>
    <row r="7" spans="1:162" s="1659" customFormat="1" ht="15.75">
      <c r="B7" s="1660"/>
      <c r="C7" s="1660"/>
      <c r="D7" s="1660"/>
      <c r="E7" s="1660"/>
      <c r="F7" s="1902" t="s">
        <v>1736</v>
      </c>
      <c r="G7" s="1903"/>
      <c r="H7" s="1903"/>
      <c r="I7" s="1903"/>
      <c r="J7" s="1904"/>
      <c r="L7" s="1902" t="s">
        <v>1737</v>
      </c>
      <c r="M7" s="1903"/>
      <c r="N7" s="1903"/>
      <c r="O7" s="1903"/>
      <c r="P7" s="1904"/>
      <c r="R7" s="1902" t="s">
        <v>1738</v>
      </c>
      <c r="S7" s="1903"/>
      <c r="T7" s="1903"/>
      <c r="U7" s="1903"/>
      <c r="V7" s="1903"/>
      <c r="W7" s="1903"/>
      <c r="X7" s="1903"/>
      <c r="Y7" s="1903"/>
      <c r="Z7" s="1903"/>
      <c r="AA7" s="1903"/>
      <c r="AB7" s="1903"/>
      <c r="AC7" s="1903"/>
      <c r="AD7" s="1903"/>
      <c r="AE7" s="1903"/>
      <c r="AF7" s="1904"/>
      <c r="AG7" s="1661"/>
      <c r="AH7" s="1662"/>
      <c r="AI7" s="1662"/>
    </row>
    <row r="8" spans="1:162" s="1663" customFormat="1" ht="61.5" customHeight="1">
      <c r="B8" s="1664" t="s">
        <v>693</v>
      </c>
      <c r="C8" s="1665" t="s">
        <v>1739</v>
      </c>
      <c r="D8" s="1665" t="s">
        <v>1521</v>
      </c>
      <c r="E8" s="1664" t="s">
        <v>1740</v>
      </c>
      <c r="F8" s="1664" t="s">
        <v>1741</v>
      </c>
      <c r="G8" s="1664" t="s">
        <v>1742</v>
      </c>
      <c r="H8" s="1664" t="s">
        <v>1743</v>
      </c>
      <c r="I8" s="1664" t="s">
        <v>1744</v>
      </c>
      <c r="J8" s="1664" t="s">
        <v>1745</v>
      </c>
      <c r="K8" s="1664"/>
      <c r="L8" s="1664" t="s">
        <v>1741</v>
      </c>
      <c r="M8" s="1664" t="s">
        <v>1746</v>
      </c>
      <c r="N8" s="1664" t="s">
        <v>1743</v>
      </c>
      <c r="O8" s="1664" t="s">
        <v>1744</v>
      </c>
      <c r="P8" s="1664" t="s">
        <v>1745</v>
      </c>
      <c r="Q8" s="1664"/>
      <c r="R8" s="1664" t="s">
        <v>1747</v>
      </c>
      <c r="S8" s="1664"/>
      <c r="T8" s="1664" t="s">
        <v>1251</v>
      </c>
      <c r="U8" s="1664"/>
      <c r="V8" s="1664" t="s">
        <v>1748</v>
      </c>
      <c r="W8" s="1664"/>
      <c r="X8" s="1664" t="s">
        <v>1749</v>
      </c>
      <c r="Y8" s="1664"/>
      <c r="Z8" s="1664" t="s">
        <v>1750</v>
      </c>
      <c r="AA8" s="1664"/>
      <c r="AB8" s="1664" t="s">
        <v>1751</v>
      </c>
      <c r="AC8" s="1664"/>
      <c r="AD8" s="1664" t="s">
        <v>1752</v>
      </c>
      <c r="AE8" s="1664"/>
      <c r="AF8" s="1664" t="s">
        <v>1753</v>
      </c>
      <c r="AG8" s="1664"/>
      <c r="AH8" s="1664" t="s">
        <v>1754</v>
      </c>
      <c r="AI8" s="1656"/>
      <c r="AJ8" s="1656"/>
      <c r="AK8" s="1656"/>
      <c r="AL8" s="1656"/>
      <c r="AM8" s="1656"/>
      <c r="AN8" s="1656"/>
      <c r="AO8" s="1656"/>
      <c r="AP8" s="1656"/>
      <c r="AQ8" s="1656"/>
      <c r="AR8" s="1656"/>
      <c r="AS8" s="1656"/>
      <c r="AT8" s="1656"/>
      <c r="AU8" s="1656"/>
      <c r="AV8" s="1656"/>
      <c r="AW8" s="1656"/>
      <c r="AX8" s="1656"/>
      <c r="AY8" s="1656"/>
      <c r="AZ8" s="1656"/>
      <c r="BA8" s="1656"/>
      <c r="BB8" s="1656"/>
      <c r="BC8" s="1656"/>
      <c r="BD8" s="1656"/>
      <c r="BE8" s="1656"/>
      <c r="BF8" s="1656"/>
      <c r="BG8" s="1656"/>
      <c r="BH8" s="1656"/>
      <c r="BI8" s="1656"/>
      <c r="BJ8" s="1656"/>
      <c r="BK8" s="1656"/>
      <c r="BL8" s="1656"/>
      <c r="BM8" s="1656"/>
      <c r="BN8" s="1656"/>
      <c r="BO8" s="1656"/>
      <c r="BP8" s="1656"/>
      <c r="BQ8" s="1656"/>
      <c r="BR8" s="1656"/>
      <c r="BS8" s="1656"/>
      <c r="BT8" s="1656"/>
      <c r="BU8" s="1656"/>
      <c r="BV8" s="1656"/>
      <c r="BW8" s="1656"/>
      <c r="BX8" s="1656"/>
      <c r="BY8" s="1656"/>
      <c r="BZ8" s="1656"/>
      <c r="CA8" s="1656"/>
      <c r="CB8" s="1656"/>
      <c r="CC8" s="1656"/>
      <c r="CD8" s="1656"/>
      <c r="CE8" s="1656"/>
      <c r="CF8" s="1656"/>
      <c r="CG8" s="1656"/>
      <c r="CH8" s="1656"/>
      <c r="CI8" s="1656"/>
      <c r="CJ8" s="1656"/>
      <c r="CK8" s="1656"/>
      <c r="CL8" s="1656"/>
      <c r="CM8" s="1656"/>
      <c r="CN8" s="1656"/>
      <c r="CO8" s="1656"/>
      <c r="CP8" s="1656"/>
      <c r="CQ8" s="1656"/>
      <c r="CR8" s="1656"/>
      <c r="CS8" s="1656"/>
      <c r="CT8" s="1656"/>
      <c r="CU8" s="1656"/>
      <c r="CV8" s="1656"/>
      <c r="CW8" s="1656"/>
      <c r="CX8" s="1656"/>
      <c r="CY8" s="1656"/>
      <c r="CZ8" s="1656"/>
      <c r="DA8" s="1656"/>
      <c r="DB8" s="1656"/>
      <c r="DC8" s="1656"/>
      <c r="DD8" s="1656"/>
      <c r="DE8" s="1656"/>
      <c r="DF8" s="1656"/>
      <c r="DG8" s="1656"/>
      <c r="DH8" s="1656"/>
      <c r="DI8" s="1656"/>
      <c r="DJ8" s="1656"/>
      <c r="DK8" s="1656"/>
      <c r="DL8" s="1656"/>
      <c r="DM8" s="1656"/>
      <c r="DN8" s="1656"/>
      <c r="DO8" s="1656"/>
      <c r="DP8" s="1656"/>
      <c r="DQ8" s="1656"/>
      <c r="DR8" s="1656"/>
      <c r="DS8" s="1656"/>
      <c r="DT8" s="1656"/>
      <c r="DU8" s="1656"/>
      <c r="DV8" s="1656"/>
      <c r="DW8" s="1656"/>
      <c r="DX8" s="1656"/>
      <c r="DY8" s="1656"/>
      <c r="DZ8" s="1656"/>
      <c r="EA8" s="1656"/>
      <c r="EB8" s="1656"/>
      <c r="EC8" s="1656"/>
      <c r="ED8" s="1656"/>
      <c r="EE8" s="1656"/>
      <c r="EF8" s="1656"/>
      <c r="EG8" s="1656"/>
      <c r="EH8" s="1656"/>
      <c r="EI8" s="1656"/>
      <c r="EJ8" s="1656"/>
      <c r="EK8" s="1656"/>
      <c r="EL8" s="1656"/>
      <c r="EM8" s="1656"/>
      <c r="EN8" s="1656"/>
      <c r="EO8" s="1656"/>
      <c r="EP8" s="1656"/>
      <c r="EQ8" s="1656"/>
      <c r="ER8" s="1656"/>
      <c r="ES8" s="1656"/>
      <c r="ET8" s="1656"/>
      <c r="EU8" s="1656"/>
      <c r="EV8" s="1656"/>
      <c r="EW8" s="1656"/>
      <c r="EX8" s="1656"/>
      <c r="EY8" s="1656"/>
      <c r="EZ8" s="1656"/>
      <c r="FA8" s="1656"/>
      <c r="FB8" s="1656"/>
      <c r="FC8" s="1656"/>
      <c r="FD8" s="1656"/>
      <c r="FE8" s="1656"/>
      <c r="FF8" s="1656"/>
    </row>
    <row r="9" spans="1:162" ht="15" customHeight="1">
      <c r="B9" s="1666"/>
      <c r="C9" s="1667" t="s">
        <v>216</v>
      </c>
      <c r="D9" s="1668" t="s">
        <v>217</v>
      </c>
      <c r="E9" s="1668" t="s">
        <v>1296</v>
      </c>
      <c r="F9" s="1668" t="s">
        <v>1580</v>
      </c>
      <c r="G9" s="1668" t="s">
        <v>1755</v>
      </c>
      <c r="H9" s="1668" t="s">
        <v>1582</v>
      </c>
      <c r="I9" s="1668" t="s">
        <v>1756</v>
      </c>
      <c r="J9" s="1668" t="s">
        <v>1757</v>
      </c>
      <c r="K9" s="1669"/>
      <c r="L9" s="1668" t="s">
        <v>1585</v>
      </c>
      <c r="M9" s="1668" t="s">
        <v>1758</v>
      </c>
      <c r="N9" s="1668" t="s">
        <v>1587</v>
      </c>
      <c r="O9" s="1668" t="s">
        <v>1759</v>
      </c>
      <c r="P9" s="1668" t="s">
        <v>1760</v>
      </c>
      <c r="Q9" s="1670"/>
      <c r="R9" s="1668" t="s">
        <v>1761</v>
      </c>
      <c r="S9" s="1668"/>
      <c r="T9" s="1668" t="s">
        <v>1762</v>
      </c>
      <c r="U9" s="1668"/>
      <c r="V9" s="1668" t="s">
        <v>1763</v>
      </c>
      <c r="W9" s="1668"/>
      <c r="X9" s="1668" t="s">
        <v>1764</v>
      </c>
      <c r="Y9" s="1668"/>
      <c r="Z9" s="1668" t="s">
        <v>1765</v>
      </c>
      <c r="AA9" s="1668"/>
      <c r="AB9" s="1668" t="s">
        <v>1766</v>
      </c>
      <c r="AC9" s="1668"/>
      <c r="AD9" s="1668" t="s">
        <v>1767</v>
      </c>
      <c r="AE9" s="1668"/>
      <c r="AF9" s="1668" t="s">
        <v>1768</v>
      </c>
      <c r="AG9" s="1668"/>
      <c r="AH9" s="1668" t="s">
        <v>1769</v>
      </c>
      <c r="AI9" s="1656"/>
    </row>
    <row r="10" spans="1:162" s="1663" customFormat="1" ht="15" customHeight="1">
      <c r="B10" s="1671"/>
      <c r="C10" s="1671"/>
      <c r="D10" s="1671"/>
      <c r="E10" s="1668"/>
      <c r="F10" s="1668"/>
      <c r="G10" s="1668"/>
      <c r="H10" s="1668"/>
      <c r="I10" s="1668"/>
      <c r="J10" s="1668"/>
      <c r="K10" s="1668"/>
      <c r="L10" s="1668"/>
      <c r="M10" s="1668"/>
      <c r="N10" s="1668"/>
      <c r="O10" s="1668"/>
      <c r="P10" s="1668"/>
      <c r="Q10" s="1668"/>
      <c r="R10" s="1668"/>
      <c r="S10" s="1668"/>
      <c r="T10" s="1668"/>
      <c r="U10" s="1668"/>
      <c r="V10" s="1668"/>
      <c r="W10" s="1668"/>
      <c r="X10" s="1668"/>
      <c r="Y10" s="1668"/>
      <c r="Z10" s="1668"/>
      <c r="AA10" s="1668"/>
      <c r="AB10" s="1668"/>
      <c r="AC10" s="1668"/>
      <c r="AD10" s="1668"/>
      <c r="AE10" s="1668"/>
      <c r="AF10" s="1668"/>
      <c r="AG10" s="1668"/>
      <c r="AH10" s="1668"/>
      <c r="AI10" s="1668"/>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row>
    <row r="11" spans="1:162" s="1663" customFormat="1" ht="15">
      <c r="B11" s="1671"/>
      <c r="C11" s="1672" t="s">
        <v>1770</v>
      </c>
      <c r="D11" s="1671"/>
      <c r="E11" s="1668"/>
      <c r="F11" s="1668"/>
      <c r="G11" s="1668"/>
      <c r="H11" s="1668"/>
      <c r="I11" s="1668"/>
      <c r="J11" s="1668"/>
      <c r="K11" s="1668"/>
      <c r="L11" s="1668"/>
      <c r="M11" s="1668"/>
      <c r="N11" s="1668"/>
      <c r="O11" s="1668"/>
      <c r="P11" s="1668"/>
      <c r="Q11" s="1668"/>
      <c r="R11" s="1668"/>
      <c r="S11" s="1668"/>
      <c r="T11" s="1668"/>
      <c r="U11" s="1668"/>
      <c r="V11" s="1668"/>
      <c r="W11" s="1668"/>
      <c r="X11" s="1668"/>
      <c r="Y11" s="1668"/>
      <c r="Z11" s="1668"/>
      <c r="AA11" s="1668"/>
      <c r="AB11" s="1668"/>
      <c r="AC11" s="1668"/>
      <c r="AD11" s="1668"/>
      <c r="AE11" s="1668"/>
      <c r="AF11" s="1668"/>
      <c r="AG11" s="1668"/>
      <c r="AH11" s="1668"/>
      <c r="AI11" s="1668"/>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row>
    <row r="12" spans="1:162" ht="15">
      <c r="B12" s="1673">
        <v>1</v>
      </c>
      <c r="C12" s="1674" t="s">
        <v>1771</v>
      </c>
      <c r="D12" s="1674" t="s">
        <v>355</v>
      </c>
      <c r="E12" s="1674" t="s">
        <v>1772</v>
      </c>
      <c r="F12" s="1675">
        <v>528972.30000000005</v>
      </c>
      <c r="G12" s="1676">
        <f>F12*0.35</f>
        <v>185140.30499999999</v>
      </c>
      <c r="H12" s="1675">
        <v>40201.894800000002</v>
      </c>
      <c r="I12" s="1676">
        <f>-H12*0.35</f>
        <v>-14070.66318</v>
      </c>
      <c r="J12" s="1676">
        <f>G12+H12+I12</f>
        <v>211271.53662</v>
      </c>
      <c r="K12" s="1677"/>
      <c r="L12" s="1675">
        <v>528972.30000000005</v>
      </c>
      <c r="M12" s="1676">
        <f>L12*0.21</f>
        <v>111084.183</v>
      </c>
      <c r="N12" s="1675">
        <v>40201.894800000002</v>
      </c>
      <c r="O12" s="1676">
        <f>-N12*0.21</f>
        <v>-8442.3979080000008</v>
      </c>
      <c r="P12" s="1676">
        <f>M12+N12+O12</f>
        <v>142843.67989199999</v>
      </c>
      <c r="R12" s="1676">
        <f>J12-P12</f>
        <v>68427.856728000013</v>
      </c>
      <c r="S12" s="1677"/>
      <c r="T12" s="1675">
        <v>0</v>
      </c>
      <c r="U12" s="1677"/>
      <c r="V12" s="1675">
        <v>0</v>
      </c>
      <c r="W12" s="1677"/>
      <c r="X12" s="1676">
        <f>R12-T12-V12</f>
        <v>68427.856728000013</v>
      </c>
      <c r="Y12" s="1677"/>
      <c r="Z12" s="1678" t="s">
        <v>347</v>
      </c>
      <c r="AA12" s="1679"/>
      <c r="AB12" s="1678" t="s">
        <v>36</v>
      </c>
      <c r="AC12" s="1679"/>
      <c r="AD12" s="1680">
        <v>0.10089999999999999</v>
      </c>
      <c r="AE12" s="1679"/>
      <c r="AF12" s="1676">
        <f>X12*AD12</f>
        <v>6904.370743855201</v>
      </c>
      <c r="AG12" s="1679"/>
      <c r="AH12" s="1673">
        <v>190</v>
      </c>
      <c r="AI12" s="1673"/>
    </row>
    <row r="13" spans="1:162" ht="15">
      <c r="B13" s="1673">
        <v>2</v>
      </c>
      <c r="C13" s="1674" t="s">
        <v>1773</v>
      </c>
      <c r="D13" s="1674" t="s">
        <v>355</v>
      </c>
      <c r="E13" s="1674" t="s">
        <v>1772</v>
      </c>
      <c r="F13" s="1681">
        <v>27544340.359999999</v>
      </c>
      <c r="G13" s="1682">
        <f t="shared" ref="G13:G71" si="0">F13*0.35</f>
        <v>9640519.1259999983</v>
      </c>
      <c r="H13" s="1681">
        <v>2093369.8673599998</v>
      </c>
      <c r="I13" s="1682">
        <f t="shared" ref="I13:I71" si="1">-H13*0.35</f>
        <v>-732679.45357599994</v>
      </c>
      <c r="J13" s="1682">
        <f>G13+H13+I13</f>
        <v>11001209.539783997</v>
      </c>
      <c r="K13" s="1683"/>
      <c r="L13" s="1681">
        <v>27544340.359999999</v>
      </c>
      <c r="M13" s="1682">
        <f t="shared" ref="M13:M71" si="2">L13*0.21</f>
        <v>5784311.4755999995</v>
      </c>
      <c r="N13" s="1681">
        <v>2093369.8673599998</v>
      </c>
      <c r="O13" s="1682">
        <f t="shared" ref="O13:O71" si="3">-N13*0.21</f>
        <v>-439607.67214559997</v>
      </c>
      <c r="P13" s="1682">
        <f t="shared" ref="P13:P71" si="4">M13+N13+O13</f>
        <v>7438073.6708143987</v>
      </c>
      <c r="Q13" s="1684"/>
      <c r="R13" s="1682">
        <f t="shared" ref="R13:R71" si="5">J13-P13</f>
        <v>3563135.8689695988</v>
      </c>
      <c r="S13" s="1683"/>
      <c r="T13" s="1681">
        <v>0</v>
      </c>
      <c r="U13" s="1683"/>
      <c r="V13" s="1681">
        <v>0</v>
      </c>
      <c r="W13" s="1683"/>
      <c r="X13" s="1682">
        <f t="shared" ref="X13:X71" si="6">R13-T13-V13</f>
        <v>3563135.8689695988</v>
      </c>
      <c r="Y13" s="1677"/>
      <c r="Z13" s="1678" t="s">
        <v>1774</v>
      </c>
      <c r="AA13" s="1679"/>
      <c r="AB13" s="1678" t="s">
        <v>37</v>
      </c>
      <c r="AC13" s="1679"/>
      <c r="AD13" s="1680">
        <v>0</v>
      </c>
      <c r="AE13" s="1679"/>
      <c r="AF13" s="1682">
        <f t="shared" ref="AF13:AF71" si="7">X13*AD13</f>
        <v>0</v>
      </c>
      <c r="AG13" s="1679"/>
      <c r="AH13" s="1673">
        <v>190</v>
      </c>
      <c r="AI13" s="1673"/>
    </row>
    <row r="14" spans="1:162" ht="15">
      <c r="B14" s="1673">
        <v>3</v>
      </c>
      <c r="C14" s="1674" t="s">
        <v>1775</v>
      </c>
      <c r="D14" s="1674" t="s">
        <v>355</v>
      </c>
      <c r="E14" s="1674" t="s">
        <v>1772</v>
      </c>
      <c r="F14" s="1681">
        <v>1324004.8400000001</v>
      </c>
      <c r="G14" s="1682">
        <f t="shared" si="0"/>
        <v>463401.69400000002</v>
      </c>
      <c r="H14" s="1681">
        <v>100624.36784000001</v>
      </c>
      <c r="I14" s="1682">
        <f t="shared" si="1"/>
        <v>-35218.528744000003</v>
      </c>
      <c r="J14" s="1682">
        <f t="shared" ref="J14:J71" si="8">G14+H14+I14</f>
        <v>528807.53309599997</v>
      </c>
      <c r="K14" s="1683"/>
      <c r="L14" s="1681">
        <v>1324004.8400000001</v>
      </c>
      <c r="M14" s="1682">
        <f t="shared" si="2"/>
        <v>278041.01640000002</v>
      </c>
      <c r="N14" s="1681">
        <v>100624.36784000001</v>
      </c>
      <c r="O14" s="1682">
        <f t="shared" si="3"/>
        <v>-21131.117246400001</v>
      </c>
      <c r="P14" s="1682">
        <f t="shared" si="4"/>
        <v>357534.26699360006</v>
      </c>
      <c r="Q14" s="1684"/>
      <c r="R14" s="1682">
        <f t="shared" si="5"/>
        <v>171273.26610239991</v>
      </c>
      <c r="S14" s="1683"/>
      <c r="T14" s="1681">
        <v>0</v>
      </c>
      <c r="U14" s="1683"/>
      <c r="V14" s="1681">
        <v>0</v>
      </c>
      <c r="W14" s="1683"/>
      <c r="X14" s="1682">
        <f t="shared" si="6"/>
        <v>171273.26610239991</v>
      </c>
      <c r="Y14" s="1677"/>
      <c r="Z14" s="1678" t="s">
        <v>347</v>
      </c>
      <c r="AA14" s="1679"/>
      <c r="AB14" s="1678" t="s">
        <v>36</v>
      </c>
      <c r="AC14" s="1679"/>
      <c r="AD14" s="1680">
        <v>0.10089999999999999</v>
      </c>
      <c r="AE14" s="1679"/>
      <c r="AF14" s="1682">
        <f t="shared" si="7"/>
        <v>17281.472549732149</v>
      </c>
      <c r="AG14" s="1679"/>
      <c r="AH14" s="1673">
        <v>190</v>
      </c>
      <c r="AI14" s="1673"/>
    </row>
    <row r="15" spans="1:162" ht="15">
      <c r="B15" s="1673">
        <v>4</v>
      </c>
      <c r="C15" s="1674" t="s">
        <v>1776</v>
      </c>
      <c r="D15" s="1674" t="s">
        <v>355</v>
      </c>
      <c r="E15" s="1674" t="s">
        <v>1772</v>
      </c>
      <c r="F15" s="1681">
        <v>1904937.14</v>
      </c>
      <c r="G15" s="1682">
        <f t="shared" si="0"/>
        <v>666727.99899999995</v>
      </c>
      <c r="H15" s="1681">
        <v>144775.22263999999</v>
      </c>
      <c r="I15" s="1682">
        <f t="shared" si="1"/>
        <v>-50671.327923999997</v>
      </c>
      <c r="J15" s="1682">
        <f t="shared" si="8"/>
        <v>760831.8937159999</v>
      </c>
      <c r="K15" s="1683"/>
      <c r="L15" s="1681">
        <v>1904937.14</v>
      </c>
      <c r="M15" s="1682">
        <f t="shared" si="2"/>
        <v>400036.79939999996</v>
      </c>
      <c r="N15" s="1681">
        <v>144775.22263999999</v>
      </c>
      <c r="O15" s="1682">
        <f t="shared" si="3"/>
        <v>-30402.796754399998</v>
      </c>
      <c r="P15" s="1682">
        <f t="shared" si="4"/>
        <v>514409.22528559994</v>
      </c>
      <c r="Q15" s="1684"/>
      <c r="R15" s="1682">
        <f t="shared" si="5"/>
        <v>246422.66843039996</v>
      </c>
      <c r="S15" s="1683"/>
      <c r="T15" s="1681">
        <v>0</v>
      </c>
      <c r="U15" s="1683"/>
      <c r="V15" s="1681">
        <v>0</v>
      </c>
      <c r="W15" s="1683"/>
      <c r="X15" s="1682">
        <f t="shared" si="6"/>
        <v>246422.66843039996</v>
      </c>
      <c r="Y15" s="1677"/>
      <c r="Z15" s="1678" t="s">
        <v>347</v>
      </c>
      <c r="AA15" s="1679"/>
      <c r="AB15" s="1678" t="s">
        <v>36</v>
      </c>
      <c r="AC15" s="1679"/>
      <c r="AD15" s="1680">
        <v>0.10089999999999999</v>
      </c>
      <c r="AE15" s="1679"/>
      <c r="AF15" s="1682">
        <f t="shared" si="7"/>
        <v>24864.047244627352</v>
      </c>
      <c r="AG15" s="1679"/>
      <c r="AH15" s="1673">
        <v>190</v>
      </c>
      <c r="AI15" s="1673"/>
    </row>
    <row r="16" spans="1:162" ht="15">
      <c r="B16" s="1673">
        <v>5</v>
      </c>
      <c r="C16" s="1674" t="s">
        <v>1777</v>
      </c>
      <c r="D16" s="1674" t="s">
        <v>355</v>
      </c>
      <c r="E16" s="1674" t="s">
        <v>1772</v>
      </c>
      <c r="F16" s="1681">
        <v>301988.01</v>
      </c>
      <c r="G16" s="1682">
        <f t="shared" si="0"/>
        <v>105695.80349999999</v>
      </c>
      <c r="H16" s="1681">
        <v>22951.088759999999</v>
      </c>
      <c r="I16" s="1682">
        <f t="shared" si="1"/>
        <v>-8032.881065999999</v>
      </c>
      <c r="J16" s="1682">
        <f t="shared" si="8"/>
        <v>120614.01119399999</v>
      </c>
      <c r="K16" s="1683"/>
      <c r="L16" s="1681">
        <v>301988.01</v>
      </c>
      <c r="M16" s="1682">
        <f t="shared" si="2"/>
        <v>63417.482100000001</v>
      </c>
      <c r="N16" s="1681">
        <v>22951.088759999999</v>
      </c>
      <c r="O16" s="1682">
        <f t="shared" si="3"/>
        <v>-4819.7286396</v>
      </c>
      <c r="P16" s="1682">
        <f t="shared" si="4"/>
        <v>81548.842220400009</v>
      </c>
      <c r="Q16" s="1684"/>
      <c r="R16" s="1682">
        <f t="shared" si="5"/>
        <v>39065.168973599983</v>
      </c>
      <c r="S16" s="1683"/>
      <c r="T16" s="1681">
        <v>0</v>
      </c>
      <c r="U16" s="1683"/>
      <c r="V16" s="1681">
        <v>0</v>
      </c>
      <c r="W16" s="1683"/>
      <c r="X16" s="1682">
        <f t="shared" si="6"/>
        <v>39065.168973599983</v>
      </c>
      <c r="Y16" s="1677"/>
      <c r="Z16" s="1678" t="s">
        <v>347</v>
      </c>
      <c r="AA16" s="1679"/>
      <c r="AB16" s="1678" t="s">
        <v>36</v>
      </c>
      <c r="AC16" s="1679"/>
      <c r="AD16" s="1680">
        <v>0.10089999999999999</v>
      </c>
      <c r="AE16" s="1679"/>
      <c r="AF16" s="1682">
        <f t="shared" si="7"/>
        <v>3941.6755494362378</v>
      </c>
      <c r="AG16" s="1679"/>
      <c r="AH16" s="1673">
        <v>190</v>
      </c>
      <c r="AI16" s="1673"/>
    </row>
    <row r="17" spans="2:35" ht="15">
      <c r="B17" s="1673">
        <v>6</v>
      </c>
      <c r="C17" s="1674" t="s">
        <v>1778</v>
      </c>
      <c r="D17" s="1674" t="s">
        <v>355</v>
      </c>
      <c r="E17" s="1674" t="s">
        <v>1772</v>
      </c>
      <c r="F17" s="1681">
        <v>54355782</v>
      </c>
      <c r="G17" s="1682">
        <f t="shared" si="0"/>
        <v>19024523.699999999</v>
      </c>
      <c r="H17" s="1681">
        <v>4131039.432</v>
      </c>
      <c r="I17" s="1682">
        <f t="shared" si="1"/>
        <v>-1445863.8011999999</v>
      </c>
      <c r="J17" s="1682">
        <f t="shared" si="8"/>
        <v>21709699.330800001</v>
      </c>
      <c r="K17" s="1683"/>
      <c r="L17" s="1681">
        <v>54355782</v>
      </c>
      <c r="M17" s="1682">
        <f t="shared" si="2"/>
        <v>11414714.219999999</v>
      </c>
      <c r="N17" s="1681">
        <v>4131039.432</v>
      </c>
      <c r="O17" s="1682">
        <f t="shared" si="3"/>
        <v>-867518.28071999992</v>
      </c>
      <c r="P17" s="1682">
        <f t="shared" si="4"/>
        <v>14678235.37128</v>
      </c>
      <c r="Q17" s="1684"/>
      <c r="R17" s="1682">
        <f t="shared" si="5"/>
        <v>7031463.959520001</v>
      </c>
      <c r="S17" s="1683"/>
      <c r="T17" s="1681">
        <v>0</v>
      </c>
      <c r="U17" s="1683"/>
      <c r="V17" s="1681">
        <v>0</v>
      </c>
      <c r="W17" s="1683"/>
      <c r="X17" s="1682">
        <f t="shared" si="6"/>
        <v>7031463.959520001</v>
      </c>
      <c r="Y17" s="1677"/>
      <c r="Z17" s="1678" t="s">
        <v>347</v>
      </c>
      <c r="AA17" s="1679"/>
      <c r="AB17" s="1678" t="s">
        <v>36</v>
      </c>
      <c r="AC17" s="1679"/>
      <c r="AD17" s="1680">
        <v>0.10089999999999999</v>
      </c>
      <c r="AE17" s="1679"/>
      <c r="AF17" s="1682">
        <f t="shared" si="7"/>
        <v>709474.71351556806</v>
      </c>
      <c r="AG17" s="1679"/>
      <c r="AH17" s="1673">
        <v>190</v>
      </c>
      <c r="AI17" s="1673"/>
    </row>
    <row r="18" spans="2:35" ht="15">
      <c r="B18" s="1673">
        <v>7</v>
      </c>
      <c r="C18" s="1674" t="s">
        <v>1779</v>
      </c>
      <c r="D18" s="1674" t="s">
        <v>355</v>
      </c>
      <c r="E18" s="1674" t="s">
        <v>1772</v>
      </c>
      <c r="F18" s="1681">
        <v>4248708.8</v>
      </c>
      <c r="G18" s="1682">
        <f t="shared" si="0"/>
        <v>1487048.0799999998</v>
      </c>
      <c r="H18" s="1681">
        <v>322901.8688</v>
      </c>
      <c r="I18" s="1682">
        <f t="shared" si="1"/>
        <v>-113015.65407999999</v>
      </c>
      <c r="J18" s="1682">
        <f t="shared" si="8"/>
        <v>1696934.2947199999</v>
      </c>
      <c r="K18" s="1683"/>
      <c r="L18" s="1681">
        <v>4248708.8</v>
      </c>
      <c r="M18" s="1682">
        <f t="shared" si="2"/>
        <v>892228.84799999988</v>
      </c>
      <c r="N18" s="1681">
        <v>322901.8688</v>
      </c>
      <c r="O18" s="1682">
        <f t="shared" si="3"/>
        <v>-67809.392447999999</v>
      </c>
      <c r="P18" s="1682">
        <f t="shared" si="4"/>
        <v>1147321.3243519999</v>
      </c>
      <c r="Q18" s="1684"/>
      <c r="R18" s="1682">
        <f t="shared" si="5"/>
        <v>549612.97036799998</v>
      </c>
      <c r="S18" s="1683"/>
      <c r="T18" s="1681">
        <v>0</v>
      </c>
      <c r="U18" s="1683"/>
      <c r="V18" s="1681">
        <v>0</v>
      </c>
      <c r="W18" s="1683"/>
      <c r="X18" s="1682">
        <f t="shared" si="6"/>
        <v>549612.97036799998</v>
      </c>
      <c r="Y18" s="1677"/>
      <c r="Z18" s="1678" t="s">
        <v>347</v>
      </c>
      <c r="AA18" s="1679"/>
      <c r="AB18" s="1678" t="s">
        <v>36</v>
      </c>
      <c r="AC18" s="1679"/>
      <c r="AD18" s="1680">
        <v>0.10089999999999999</v>
      </c>
      <c r="AE18" s="1679"/>
      <c r="AF18" s="1682">
        <f t="shared" si="7"/>
        <v>55455.94871013119</v>
      </c>
      <c r="AG18" s="1679"/>
      <c r="AH18" s="1673">
        <v>190</v>
      </c>
      <c r="AI18" s="1673"/>
    </row>
    <row r="19" spans="2:35" ht="15">
      <c r="B19" s="1673">
        <v>8</v>
      </c>
      <c r="C19" s="1674" t="s">
        <v>1780</v>
      </c>
      <c r="D19" s="1674" t="s">
        <v>355</v>
      </c>
      <c r="E19" s="1674" t="s">
        <v>1772</v>
      </c>
      <c r="F19" s="1681">
        <v>473539.69</v>
      </c>
      <c r="G19" s="1682">
        <f t="shared" si="0"/>
        <v>165738.8915</v>
      </c>
      <c r="H19" s="1681">
        <v>35989.016439999999</v>
      </c>
      <c r="I19" s="1682">
        <f t="shared" si="1"/>
        <v>-12596.155753999999</v>
      </c>
      <c r="J19" s="1682">
        <f t="shared" si="8"/>
        <v>189131.752186</v>
      </c>
      <c r="K19" s="1683"/>
      <c r="L19" s="1681">
        <v>473539.69</v>
      </c>
      <c r="M19" s="1682">
        <f t="shared" si="2"/>
        <v>99443.334900000002</v>
      </c>
      <c r="N19" s="1681">
        <v>35989.016439999999</v>
      </c>
      <c r="O19" s="1682">
        <f t="shared" si="3"/>
        <v>-7557.6934523999998</v>
      </c>
      <c r="P19" s="1682">
        <f t="shared" si="4"/>
        <v>127874.6578876</v>
      </c>
      <c r="Q19" s="1684"/>
      <c r="R19" s="1682">
        <f t="shared" si="5"/>
        <v>61257.094298399999</v>
      </c>
      <c r="S19" s="1683"/>
      <c r="T19" s="1681">
        <v>0</v>
      </c>
      <c r="U19" s="1683"/>
      <c r="V19" s="1681">
        <v>0</v>
      </c>
      <c r="W19" s="1683"/>
      <c r="X19" s="1682">
        <f t="shared" si="6"/>
        <v>61257.094298399999</v>
      </c>
      <c r="Y19" s="1677"/>
      <c r="Z19" s="1678" t="s">
        <v>347</v>
      </c>
      <c r="AA19" s="1679"/>
      <c r="AB19" s="1678" t="s">
        <v>36</v>
      </c>
      <c r="AC19" s="1679"/>
      <c r="AD19" s="1680">
        <v>0.10089999999999999</v>
      </c>
      <c r="AE19" s="1679"/>
      <c r="AF19" s="1682">
        <f t="shared" si="7"/>
        <v>6180.8408147085593</v>
      </c>
      <c r="AG19" s="1679"/>
      <c r="AH19" s="1673">
        <v>190</v>
      </c>
      <c r="AI19" s="1673"/>
    </row>
    <row r="20" spans="2:35" ht="15">
      <c r="B20" s="1673">
        <v>9</v>
      </c>
      <c r="C20" s="1674" t="s">
        <v>1781</v>
      </c>
      <c r="D20" s="1674" t="s">
        <v>355</v>
      </c>
      <c r="E20" s="1674" t="s">
        <v>1772</v>
      </c>
      <c r="F20" s="1681">
        <v>7429388.7999999998</v>
      </c>
      <c r="G20" s="1682">
        <f t="shared" si="0"/>
        <v>2600286.0799999996</v>
      </c>
      <c r="H20" s="1681">
        <v>564633.54879999999</v>
      </c>
      <c r="I20" s="1682">
        <f t="shared" si="1"/>
        <v>-197621.74208</v>
      </c>
      <c r="J20" s="1682">
        <f t="shared" si="8"/>
        <v>2967297.8867199998</v>
      </c>
      <c r="K20" s="1683"/>
      <c r="L20" s="1681">
        <v>7429388.7999999998</v>
      </c>
      <c r="M20" s="1682">
        <f t="shared" si="2"/>
        <v>1560171.6479999998</v>
      </c>
      <c r="N20" s="1681">
        <v>564633.54879999999</v>
      </c>
      <c r="O20" s="1682">
        <f t="shared" si="3"/>
        <v>-118573.04524799999</v>
      </c>
      <c r="P20" s="1682">
        <f t="shared" si="4"/>
        <v>2006232.1515520001</v>
      </c>
      <c r="Q20" s="1684"/>
      <c r="R20" s="1682">
        <f t="shared" si="5"/>
        <v>961065.73516799975</v>
      </c>
      <c r="S20" s="1683"/>
      <c r="T20" s="1681">
        <v>0</v>
      </c>
      <c r="U20" s="1683"/>
      <c r="V20" s="1681">
        <v>0</v>
      </c>
      <c r="W20" s="1683"/>
      <c r="X20" s="1682">
        <f t="shared" si="6"/>
        <v>961065.73516799975</v>
      </c>
      <c r="Y20" s="1677"/>
      <c r="Z20" s="1678" t="s">
        <v>347</v>
      </c>
      <c r="AA20" s="1679"/>
      <c r="AB20" s="1678" t="s">
        <v>36</v>
      </c>
      <c r="AC20" s="1679"/>
      <c r="AD20" s="1680">
        <v>0.10089999999999999</v>
      </c>
      <c r="AE20" s="1679"/>
      <c r="AF20" s="1682">
        <f t="shared" si="7"/>
        <v>96971.532678451171</v>
      </c>
      <c r="AG20" s="1679"/>
      <c r="AH20" s="1673">
        <v>190</v>
      </c>
      <c r="AI20" s="1673"/>
    </row>
    <row r="21" spans="2:35" ht="15">
      <c r="B21" s="1673">
        <v>10</v>
      </c>
      <c r="C21" s="1674" t="s">
        <v>1782</v>
      </c>
      <c r="D21" s="1674" t="s">
        <v>355</v>
      </c>
      <c r="E21" s="1674" t="s">
        <v>1772</v>
      </c>
      <c r="F21" s="1681">
        <v>20000</v>
      </c>
      <c r="G21" s="1682">
        <f t="shared" si="0"/>
        <v>7000</v>
      </c>
      <c r="H21" s="1681">
        <v>1520</v>
      </c>
      <c r="I21" s="1682">
        <f t="shared" si="1"/>
        <v>-532</v>
      </c>
      <c r="J21" s="1682">
        <f t="shared" si="8"/>
        <v>7988</v>
      </c>
      <c r="K21" s="1683"/>
      <c r="L21" s="1681">
        <v>20000</v>
      </c>
      <c r="M21" s="1682">
        <f t="shared" si="2"/>
        <v>4200</v>
      </c>
      <c r="N21" s="1681">
        <v>1520</v>
      </c>
      <c r="O21" s="1682">
        <f t="shared" si="3"/>
        <v>-319.2</v>
      </c>
      <c r="P21" s="1682">
        <f t="shared" si="4"/>
        <v>5400.8</v>
      </c>
      <c r="Q21" s="1684"/>
      <c r="R21" s="1682">
        <f t="shared" si="5"/>
        <v>2587.1999999999998</v>
      </c>
      <c r="S21" s="1683"/>
      <c r="T21" s="1681">
        <v>0</v>
      </c>
      <c r="U21" s="1683"/>
      <c r="V21" s="1681">
        <v>0</v>
      </c>
      <c r="W21" s="1683"/>
      <c r="X21" s="1682">
        <f t="shared" si="6"/>
        <v>2587.1999999999998</v>
      </c>
      <c r="Y21" s="1677"/>
      <c r="Z21" s="1678" t="s">
        <v>347</v>
      </c>
      <c r="AA21" s="1679"/>
      <c r="AB21" s="1678" t="s">
        <v>36</v>
      </c>
      <c r="AC21" s="1679"/>
      <c r="AD21" s="1680">
        <v>0.10089999999999999</v>
      </c>
      <c r="AE21" s="1679"/>
      <c r="AF21" s="1682">
        <f t="shared" si="7"/>
        <v>261.04847999999993</v>
      </c>
      <c r="AG21" s="1679"/>
      <c r="AH21" s="1673">
        <v>190</v>
      </c>
      <c r="AI21" s="1673"/>
    </row>
    <row r="22" spans="2:35" ht="15">
      <c r="B22" s="1673">
        <v>11</v>
      </c>
      <c r="C22" s="1674" t="s">
        <v>1783</v>
      </c>
      <c r="D22" s="1674" t="s">
        <v>355</v>
      </c>
      <c r="E22" s="1674" t="s">
        <v>1772</v>
      </c>
      <c r="F22" s="1681">
        <v>173807.03</v>
      </c>
      <c r="G22" s="1682">
        <f t="shared" si="0"/>
        <v>60832.460499999994</v>
      </c>
      <c r="H22" s="1681">
        <v>13209.334279999999</v>
      </c>
      <c r="I22" s="1682">
        <f t="shared" si="1"/>
        <v>-4623.2669979999991</v>
      </c>
      <c r="J22" s="1682">
        <f t="shared" si="8"/>
        <v>69418.52778199999</v>
      </c>
      <c r="K22" s="1683"/>
      <c r="L22" s="1681">
        <v>173807.03</v>
      </c>
      <c r="M22" s="1682">
        <f t="shared" si="2"/>
        <v>36499.476299999995</v>
      </c>
      <c r="N22" s="1681">
        <v>13209.334279999999</v>
      </c>
      <c r="O22" s="1682">
        <f t="shared" si="3"/>
        <v>-2773.9601987999995</v>
      </c>
      <c r="P22" s="1682">
        <f t="shared" si="4"/>
        <v>46934.850381199991</v>
      </c>
      <c r="Q22" s="1684"/>
      <c r="R22" s="1682">
        <f t="shared" si="5"/>
        <v>22483.677400799999</v>
      </c>
      <c r="S22" s="1683"/>
      <c r="T22" s="1681">
        <v>0</v>
      </c>
      <c r="U22" s="1683"/>
      <c r="V22" s="1681">
        <v>0</v>
      </c>
      <c r="W22" s="1683"/>
      <c r="X22" s="1682">
        <f t="shared" si="6"/>
        <v>22483.677400799999</v>
      </c>
      <c r="Y22" s="1677"/>
      <c r="Z22" s="1678" t="s">
        <v>347</v>
      </c>
      <c r="AA22" s="1679"/>
      <c r="AB22" s="1678" t="s">
        <v>36</v>
      </c>
      <c r="AC22" s="1679"/>
      <c r="AD22" s="1680">
        <v>0.10089999999999999</v>
      </c>
      <c r="AE22" s="1679"/>
      <c r="AF22" s="1682">
        <f t="shared" si="7"/>
        <v>2268.6030497407196</v>
      </c>
      <c r="AG22" s="1679"/>
      <c r="AH22" s="1673">
        <v>190</v>
      </c>
      <c r="AI22" s="1673"/>
    </row>
    <row r="23" spans="2:35" ht="15">
      <c r="B23" s="1673">
        <v>12</v>
      </c>
      <c r="C23" s="1674" t="s">
        <v>1784</v>
      </c>
      <c r="D23" s="1674" t="s">
        <v>355</v>
      </c>
      <c r="E23" s="1674" t="s">
        <v>1772</v>
      </c>
      <c r="F23" s="1681">
        <v>3934816.74</v>
      </c>
      <c r="G23" s="1682">
        <f t="shared" si="0"/>
        <v>1377185.8589999999</v>
      </c>
      <c r="H23" s="1681">
        <v>299046.07224000001</v>
      </c>
      <c r="I23" s="1682">
        <f t="shared" si="1"/>
        <v>-104666.12528399999</v>
      </c>
      <c r="J23" s="1682">
        <f t="shared" si="8"/>
        <v>1571565.8059559998</v>
      </c>
      <c r="K23" s="1683"/>
      <c r="L23" s="1681">
        <v>3934816.74</v>
      </c>
      <c r="M23" s="1682">
        <f t="shared" si="2"/>
        <v>826311.51540000003</v>
      </c>
      <c r="N23" s="1681">
        <v>299046.07224000001</v>
      </c>
      <c r="O23" s="1682">
        <f t="shared" si="3"/>
        <v>-62799.675170399998</v>
      </c>
      <c r="P23" s="1682">
        <f t="shared" si="4"/>
        <v>1062557.9124696001</v>
      </c>
      <c r="Q23" s="1684"/>
      <c r="R23" s="1682">
        <f t="shared" si="5"/>
        <v>509007.89348639967</v>
      </c>
      <c r="S23" s="1683"/>
      <c r="T23" s="1681">
        <v>457648.99703362217</v>
      </c>
      <c r="U23" s="1683"/>
      <c r="V23" s="1681">
        <v>0</v>
      </c>
      <c r="W23" s="1683"/>
      <c r="X23" s="1682">
        <f t="shared" si="6"/>
        <v>51358.896452777495</v>
      </c>
      <c r="Y23" s="1677"/>
      <c r="Z23" s="1678" t="s">
        <v>1229</v>
      </c>
      <c r="AA23" s="1679"/>
      <c r="AB23" s="1678" t="s">
        <v>36</v>
      </c>
      <c r="AC23" s="1679"/>
      <c r="AD23" s="1680">
        <v>1</v>
      </c>
      <c r="AE23" s="1679"/>
      <c r="AF23" s="1682">
        <f t="shared" si="7"/>
        <v>51358.896452777495</v>
      </c>
      <c r="AG23" s="1679"/>
      <c r="AH23" s="1673">
        <v>190</v>
      </c>
      <c r="AI23" s="1673"/>
    </row>
    <row r="24" spans="2:35" ht="15">
      <c r="B24" s="1673">
        <v>13</v>
      </c>
      <c r="C24" s="1674" t="s">
        <v>1785</v>
      </c>
      <c r="D24" s="1674" t="s">
        <v>355</v>
      </c>
      <c r="E24" s="1674" t="s">
        <v>1772</v>
      </c>
      <c r="F24" s="1681">
        <v>7680550.75</v>
      </c>
      <c r="G24" s="1682">
        <f t="shared" si="0"/>
        <v>2688192.7624999997</v>
      </c>
      <c r="H24" s="1681">
        <v>583721.85699999996</v>
      </c>
      <c r="I24" s="1682">
        <f t="shared" si="1"/>
        <v>-204302.64994999996</v>
      </c>
      <c r="J24" s="1682">
        <f t="shared" si="8"/>
        <v>3067611.9695499996</v>
      </c>
      <c r="K24" s="1683"/>
      <c r="L24" s="1681">
        <v>7680550.75</v>
      </c>
      <c r="M24" s="1682">
        <f t="shared" si="2"/>
        <v>1612915.6575</v>
      </c>
      <c r="N24" s="1681">
        <v>583721.85699999996</v>
      </c>
      <c r="O24" s="1682">
        <f t="shared" si="3"/>
        <v>-122581.58996999999</v>
      </c>
      <c r="P24" s="1682">
        <f t="shared" si="4"/>
        <v>2074055.92453</v>
      </c>
      <c r="Q24" s="1684"/>
      <c r="R24" s="1682">
        <f t="shared" si="5"/>
        <v>993556.04501999961</v>
      </c>
      <c r="S24" s="1683"/>
      <c r="T24" s="1681">
        <v>0</v>
      </c>
      <c r="U24" s="1683"/>
      <c r="V24" s="1681">
        <v>0</v>
      </c>
      <c r="W24" s="1683"/>
      <c r="X24" s="1682">
        <f t="shared" si="6"/>
        <v>993556.04501999961</v>
      </c>
      <c r="Y24" s="1677"/>
      <c r="Z24" s="1678" t="s">
        <v>347</v>
      </c>
      <c r="AA24" s="1679"/>
      <c r="AB24" s="1678" t="s">
        <v>36</v>
      </c>
      <c r="AC24" s="1679"/>
      <c r="AD24" s="1680">
        <v>0.10089999999999999</v>
      </c>
      <c r="AE24" s="1679"/>
      <c r="AF24" s="1682">
        <f t="shared" si="7"/>
        <v>100249.80494251795</v>
      </c>
      <c r="AG24" s="1679"/>
      <c r="AH24" s="1673">
        <v>190</v>
      </c>
      <c r="AI24" s="1673"/>
    </row>
    <row r="25" spans="2:35" ht="15">
      <c r="B25" s="1673">
        <v>14</v>
      </c>
      <c r="C25" s="1674" t="s">
        <v>1786</v>
      </c>
      <c r="D25" s="1674" t="s">
        <v>355</v>
      </c>
      <c r="E25" s="1674" t="s">
        <v>1772</v>
      </c>
      <c r="F25" s="1681">
        <v>7227360.4900000002</v>
      </c>
      <c r="G25" s="1682">
        <f t="shared" si="0"/>
        <v>2529576.1714999997</v>
      </c>
      <c r="H25" s="1681">
        <v>549279.39723999996</v>
      </c>
      <c r="I25" s="1682">
        <f t="shared" si="1"/>
        <v>-192247.78903399999</v>
      </c>
      <c r="J25" s="1682">
        <f t="shared" si="8"/>
        <v>2886607.7797059994</v>
      </c>
      <c r="K25" s="1683"/>
      <c r="L25" s="1681">
        <v>7227360.4900000002</v>
      </c>
      <c r="M25" s="1682">
        <f t="shared" si="2"/>
        <v>1517745.7028999999</v>
      </c>
      <c r="N25" s="1681">
        <v>549279.39723999996</v>
      </c>
      <c r="O25" s="1682">
        <f t="shared" si="3"/>
        <v>-115348.67342039999</v>
      </c>
      <c r="P25" s="1682">
        <f t="shared" si="4"/>
        <v>1951676.4267195999</v>
      </c>
      <c r="Q25" s="1684"/>
      <c r="R25" s="1682">
        <f t="shared" si="5"/>
        <v>934931.35298639955</v>
      </c>
      <c r="S25" s="1683"/>
      <c r="T25" s="1681">
        <v>0</v>
      </c>
      <c r="U25" s="1683"/>
      <c r="V25" s="1681">
        <v>0</v>
      </c>
      <c r="W25" s="1683"/>
      <c r="X25" s="1682">
        <f t="shared" si="6"/>
        <v>934931.35298639955</v>
      </c>
      <c r="Y25" s="1677"/>
      <c r="Z25" s="1678" t="s">
        <v>347</v>
      </c>
      <c r="AA25" s="1679"/>
      <c r="AB25" s="1678" t="s">
        <v>36</v>
      </c>
      <c r="AC25" s="1679"/>
      <c r="AD25" s="1680">
        <v>0.10089999999999999</v>
      </c>
      <c r="AE25" s="1679"/>
      <c r="AF25" s="1682">
        <f t="shared" si="7"/>
        <v>94334.573516327699</v>
      </c>
      <c r="AG25" s="1679"/>
      <c r="AH25" s="1673">
        <v>190</v>
      </c>
      <c r="AI25" s="1673"/>
    </row>
    <row r="26" spans="2:35" ht="15">
      <c r="B26" s="1673">
        <v>15</v>
      </c>
      <c r="C26" s="1674" t="s">
        <v>1787</v>
      </c>
      <c r="D26" s="1674" t="s">
        <v>355</v>
      </c>
      <c r="E26" s="1674" t="s">
        <v>1772</v>
      </c>
      <c r="F26" s="1681">
        <v>355346.43999999762</v>
      </c>
      <c r="G26" s="1682">
        <f t="shared" si="0"/>
        <v>124371.25399999916</v>
      </c>
      <c r="H26" s="1681">
        <v>27006.329439999819</v>
      </c>
      <c r="I26" s="1682">
        <f t="shared" si="1"/>
        <v>-9452.2153039999357</v>
      </c>
      <c r="J26" s="1682">
        <f t="shared" si="8"/>
        <v>141925.36813599904</v>
      </c>
      <c r="K26" s="1683"/>
      <c r="L26" s="1681">
        <v>355346.43999999762</v>
      </c>
      <c r="M26" s="1682">
        <f t="shared" si="2"/>
        <v>74622.752399999503</v>
      </c>
      <c r="N26" s="1681">
        <v>27006.329439999819</v>
      </c>
      <c r="O26" s="1682">
        <f t="shared" si="3"/>
        <v>-5671.3291823999616</v>
      </c>
      <c r="P26" s="1682">
        <f t="shared" si="4"/>
        <v>95957.752657599369</v>
      </c>
      <c r="Q26" s="1684"/>
      <c r="R26" s="1682">
        <f t="shared" si="5"/>
        <v>45967.615478399675</v>
      </c>
      <c r="S26" s="1683"/>
      <c r="T26" s="1681">
        <v>0</v>
      </c>
      <c r="U26" s="1683"/>
      <c r="V26" s="1681">
        <v>0</v>
      </c>
      <c r="W26" s="1683"/>
      <c r="X26" s="1682">
        <f t="shared" si="6"/>
        <v>45967.615478399675</v>
      </c>
      <c r="Y26" s="1677"/>
      <c r="Z26" s="1678" t="s">
        <v>347</v>
      </c>
      <c r="AA26" s="1679"/>
      <c r="AB26" s="1678" t="s">
        <v>36</v>
      </c>
      <c r="AC26" s="1679"/>
      <c r="AD26" s="1680">
        <v>0.10089999999999999</v>
      </c>
      <c r="AE26" s="1679"/>
      <c r="AF26" s="1682">
        <f t="shared" si="7"/>
        <v>4638.1324017705265</v>
      </c>
      <c r="AG26" s="1679"/>
      <c r="AH26" s="1673">
        <v>190</v>
      </c>
      <c r="AI26" s="1673"/>
    </row>
    <row r="27" spans="2:35" ht="15">
      <c r="B27" s="1673">
        <v>16</v>
      </c>
      <c r="C27" s="1674" t="s">
        <v>1788</v>
      </c>
      <c r="D27" s="1674" t="s">
        <v>355</v>
      </c>
      <c r="E27" s="1674" t="s">
        <v>1772</v>
      </c>
      <c r="F27" s="1681">
        <v>13909345</v>
      </c>
      <c r="G27" s="1682">
        <f t="shared" si="0"/>
        <v>4868270.75</v>
      </c>
      <c r="H27" s="1681">
        <v>1057110.22</v>
      </c>
      <c r="I27" s="1682">
        <f t="shared" si="1"/>
        <v>-369988.57699999999</v>
      </c>
      <c r="J27" s="1682">
        <f t="shared" si="8"/>
        <v>5555392.3930000002</v>
      </c>
      <c r="K27" s="1683"/>
      <c r="L27" s="1681">
        <v>13909345</v>
      </c>
      <c r="M27" s="1682">
        <f t="shared" si="2"/>
        <v>2920962.4499999997</v>
      </c>
      <c r="N27" s="1681">
        <v>1057110.22</v>
      </c>
      <c r="O27" s="1682">
        <f t="shared" si="3"/>
        <v>-221993.14619999999</v>
      </c>
      <c r="P27" s="1682">
        <f t="shared" si="4"/>
        <v>3756079.5238000001</v>
      </c>
      <c r="Q27" s="1684"/>
      <c r="R27" s="1682">
        <f t="shared" si="5"/>
        <v>1799312.8692000001</v>
      </c>
      <c r="S27" s="1683"/>
      <c r="T27" s="1681">
        <v>1799312.8692000005</v>
      </c>
      <c r="U27" s="1683"/>
      <c r="V27" s="1681">
        <v>0</v>
      </c>
      <c r="W27" s="1683"/>
      <c r="X27" s="1682">
        <f t="shared" si="6"/>
        <v>-4.6566128730773926E-10</v>
      </c>
      <c r="Y27" s="1677"/>
      <c r="Z27" s="1678" t="s">
        <v>347</v>
      </c>
      <c r="AA27" s="1679"/>
      <c r="AB27" s="1678" t="s">
        <v>37</v>
      </c>
      <c r="AC27" s="1679"/>
      <c r="AD27" s="1680">
        <v>0</v>
      </c>
      <c r="AE27" s="1679"/>
      <c r="AF27" s="1682">
        <f t="shared" si="7"/>
        <v>0</v>
      </c>
      <c r="AG27" s="1679"/>
      <c r="AH27" s="1673">
        <v>190</v>
      </c>
      <c r="AI27" s="1673"/>
    </row>
    <row r="28" spans="2:35" ht="15">
      <c r="B28" s="1673">
        <v>17</v>
      </c>
      <c r="C28" s="1674" t="s">
        <v>1789</v>
      </c>
      <c r="D28" s="1674" t="s">
        <v>355</v>
      </c>
      <c r="E28" s="1674" t="s">
        <v>1772</v>
      </c>
      <c r="F28" s="1681">
        <v>160000000</v>
      </c>
      <c r="G28" s="1682">
        <f t="shared" si="0"/>
        <v>56000000</v>
      </c>
      <c r="H28" s="1681">
        <v>12160000</v>
      </c>
      <c r="I28" s="1682">
        <f t="shared" si="1"/>
        <v>-4256000</v>
      </c>
      <c r="J28" s="1682">
        <f t="shared" si="8"/>
        <v>63904000</v>
      </c>
      <c r="K28" s="1683"/>
      <c r="L28" s="1681">
        <v>160000000</v>
      </c>
      <c r="M28" s="1682">
        <f t="shared" si="2"/>
        <v>33600000</v>
      </c>
      <c r="N28" s="1681">
        <v>12160000</v>
      </c>
      <c r="O28" s="1682">
        <f t="shared" si="3"/>
        <v>-2553600</v>
      </c>
      <c r="P28" s="1682">
        <f t="shared" si="4"/>
        <v>43206400</v>
      </c>
      <c r="Q28" s="1684"/>
      <c r="R28" s="1682">
        <f t="shared" si="5"/>
        <v>20697600</v>
      </c>
      <c r="S28" s="1683"/>
      <c r="T28" s="1681">
        <v>0</v>
      </c>
      <c r="U28" s="1683"/>
      <c r="V28" s="1681">
        <v>0</v>
      </c>
      <c r="W28" s="1683"/>
      <c r="X28" s="1682">
        <f t="shared" si="6"/>
        <v>20697600</v>
      </c>
      <c r="Y28" s="1677"/>
      <c r="Z28" s="1678" t="s">
        <v>1774</v>
      </c>
      <c r="AA28" s="1679"/>
      <c r="AB28" s="1678" t="s">
        <v>37</v>
      </c>
      <c r="AC28" s="1679"/>
      <c r="AD28" s="1680">
        <v>0</v>
      </c>
      <c r="AE28" s="1679"/>
      <c r="AF28" s="1682">
        <f t="shared" si="7"/>
        <v>0</v>
      </c>
      <c r="AG28" s="1679"/>
      <c r="AH28" s="1673">
        <v>190</v>
      </c>
      <c r="AI28" s="1673"/>
    </row>
    <row r="29" spans="2:35" ht="15">
      <c r="B29" s="1673">
        <v>18</v>
      </c>
      <c r="C29" s="1674" t="s">
        <v>1790</v>
      </c>
      <c r="D29" s="1674" t="s">
        <v>355</v>
      </c>
      <c r="E29" s="1674" t="s">
        <v>1772</v>
      </c>
      <c r="F29" s="1681">
        <v>76247.199999999997</v>
      </c>
      <c r="G29" s="1682">
        <f t="shared" si="0"/>
        <v>26686.519999999997</v>
      </c>
      <c r="H29" s="1681">
        <v>5794.7871999999998</v>
      </c>
      <c r="I29" s="1682">
        <f t="shared" si="1"/>
        <v>-2028.1755199999998</v>
      </c>
      <c r="J29" s="1682">
        <f t="shared" si="8"/>
        <v>30453.131679999995</v>
      </c>
      <c r="K29" s="1683"/>
      <c r="L29" s="1681">
        <v>76247.199999999997</v>
      </c>
      <c r="M29" s="1682">
        <f t="shared" si="2"/>
        <v>16011.911999999998</v>
      </c>
      <c r="N29" s="1681">
        <v>5794.7871999999998</v>
      </c>
      <c r="O29" s="1682">
        <f t="shared" si="3"/>
        <v>-1216.9053119999999</v>
      </c>
      <c r="P29" s="1682">
        <f t="shared" si="4"/>
        <v>20589.793888</v>
      </c>
      <c r="Q29" s="1684"/>
      <c r="R29" s="1682">
        <f t="shared" si="5"/>
        <v>9863.3377919999948</v>
      </c>
      <c r="S29" s="1683"/>
      <c r="T29" s="1681">
        <v>0</v>
      </c>
      <c r="U29" s="1683"/>
      <c r="V29" s="1681">
        <v>0</v>
      </c>
      <c r="W29" s="1683"/>
      <c r="X29" s="1682">
        <f t="shared" si="6"/>
        <v>9863.3377919999948</v>
      </c>
      <c r="Y29" s="1677"/>
      <c r="Z29" s="1678" t="s">
        <v>347</v>
      </c>
      <c r="AA29" s="1679"/>
      <c r="AB29" s="1678" t="s">
        <v>36</v>
      </c>
      <c r="AC29" s="1679"/>
      <c r="AD29" s="1680">
        <v>0.10089999999999999</v>
      </c>
      <c r="AE29" s="1679"/>
      <c r="AF29" s="1682">
        <f t="shared" si="7"/>
        <v>995.21078321279936</v>
      </c>
      <c r="AG29" s="1679"/>
      <c r="AH29" s="1673">
        <v>190</v>
      </c>
      <c r="AI29" s="1673"/>
    </row>
    <row r="30" spans="2:35" ht="15">
      <c r="B30" s="1673">
        <v>19</v>
      </c>
      <c r="C30" s="1674" t="s">
        <v>1791</v>
      </c>
      <c r="D30" s="1674" t="s">
        <v>355</v>
      </c>
      <c r="E30" s="1674" t="s">
        <v>1772</v>
      </c>
      <c r="F30" s="1681">
        <v>-285855</v>
      </c>
      <c r="G30" s="1682">
        <f t="shared" si="0"/>
        <v>-100049.25</v>
      </c>
      <c r="H30" s="1681">
        <v>-21724.98</v>
      </c>
      <c r="I30" s="1682">
        <f t="shared" si="1"/>
        <v>7603.7429999999995</v>
      </c>
      <c r="J30" s="1682">
        <f t="shared" si="8"/>
        <v>-114170.48699999999</v>
      </c>
      <c r="K30" s="1683"/>
      <c r="L30" s="1681">
        <v>-285855</v>
      </c>
      <c r="M30" s="1682">
        <f t="shared" si="2"/>
        <v>-60029.549999999996</v>
      </c>
      <c r="N30" s="1681">
        <v>-21724.98</v>
      </c>
      <c r="O30" s="1682">
        <f t="shared" si="3"/>
        <v>4562.2457999999997</v>
      </c>
      <c r="P30" s="1682">
        <f t="shared" si="4"/>
        <v>-77192.284199999995</v>
      </c>
      <c r="Q30" s="1684"/>
      <c r="R30" s="1682">
        <f t="shared" si="5"/>
        <v>-36978.202799999999</v>
      </c>
      <c r="S30" s="1683"/>
      <c r="T30" s="1681">
        <v>0</v>
      </c>
      <c r="U30" s="1683"/>
      <c r="V30" s="1681">
        <v>0</v>
      </c>
      <c r="W30" s="1683"/>
      <c r="X30" s="1682">
        <f t="shared" si="6"/>
        <v>-36978.202799999999</v>
      </c>
      <c r="Y30" s="1677"/>
      <c r="Z30" s="1678" t="s">
        <v>347</v>
      </c>
      <c r="AA30" s="1679"/>
      <c r="AB30" s="1678" t="s">
        <v>36</v>
      </c>
      <c r="AC30" s="1679"/>
      <c r="AD30" s="1680">
        <v>0.10089999999999999</v>
      </c>
      <c r="AE30" s="1679"/>
      <c r="AF30" s="1682">
        <f t="shared" si="7"/>
        <v>-3731.1006625199993</v>
      </c>
      <c r="AG30" s="1679"/>
      <c r="AH30" s="1673">
        <v>190</v>
      </c>
      <c r="AI30" s="1673"/>
    </row>
    <row r="31" spans="2:35" ht="15">
      <c r="B31" s="1673">
        <v>20</v>
      </c>
      <c r="C31" s="1674" t="s">
        <v>1792</v>
      </c>
      <c r="D31" s="1674" t="s">
        <v>354</v>
      </c>
      <c r="E31" s="1674" t="s">
        <v>1772</v>
      </c>
      <c r="F31" s="1681">
        <v>885155.41</v>
      </c>
      <c r="G31" s="1682">
        <f t="shared" si="0"/>
        <v>309804.39350000001</v>
      </c>
      <c r="H31" s="1681">
        <v>67271.811159999997</v>
      </c>
      <c r="I31" s="1682">
        <f t="shared" si="1"/>
        <v>-23545.133905999999</v>
      </c>
      <c r="J31" s="1682">
        <f t="shared" si="8"/>
        <v>353531.07075399999</v>
      </c>
      <c r="K31" s="1683"/>
      <c r="L31" s="1681">
        <v>885155.41</v>
      </c>
      <c r="M31" s="1682">
        <f t="shared" si="2"/>
        <v>185882.6361</v>
      </c>
      <c r="N31" s="1681">
        <v>67271.811159999997</v>
      </c>
      <c r="O31" s="1682">
        <f t="shared" si="3"/>
        <v>-14127.080343599999</v>
      </c>
      <c r="P31" s="1682">
        <f t="shared" si="4"/>
        <v>239027.36691639997</v>
      </c>
      <c r="Q31" s="1684"/>
      <c r="R31" s="1682">
        <f t="shared" si="5"/>
        <v>114503.70383760001</v>
      </c>
      <c r="S31" s="1683"/>
      <c r="T31" s="1681">
        <v>114503.70383760001</v>
      </c>
      <c r="U31" s="1683"/>
      <c r="V31" s="1681">
        <v>0</v>
      </c>
      <c r="W31" s="1683"/>
      <c r="X31" s="1682">
        <f t="shared" si="6"/>
        <v>0</v>
      </c>
      <c r="Y31" s="1677"/>
      <c r="Z31" s="1678" t="s">
        <v>347</v>
      </c>
      <c r="AA31" s="1679"/>
      <c r="AB31" s="1678" t="s">
        <v>37</v>
      </c>
      <c r="AC31" s="1679"/>
      <c r="AD31" s="1680">
        <v>0</v>
      </c>
      <c r="AE31" s="1679"/>
      <c r="AF31" s="1682">
        <f t="shared" si="7"/>
        <v>0</v>
      </c>
      <c r="AG31" s="1679"/>
      <c r="AH31" s="1673">
        <v>190</v>
      </c>
      <c r="AI31" s="1673"/>
    </row>
    <row r="32" spans="2:35" ht="15">
      <c r="B32" s="1673">
        <v>21</v>
      </c>
      <c r="C32" s="1674" t="s">
        <v>1793</v>
      </c>
      <c r="D32" s="1674" t="s">
        <v>354</v>
      </c>
      <c r="E32" s="1674" t="s">
        <v>1772</v>
      </c>
      <c r="F32" s="1681">
        <v>8806289.7799999993</v>
      </c>
      <c r="G32" s="1682">
        <f t="shared" si="0"/>
        <v>3082201.4229999995</v>
      </c>
      <c r="H32" s="1681">
        <v>669278.02327999996</v>
      </c>
      <c r="I32" s="1682">
        <f t="shared" si="1"/>
        <v>-234247.30814799998</v>
      </c>
      <c r="J32" s="1682">
        <f t="shared" si="8"/>
        <v>3517232.1381319994</v>
      </c>
      <c r="K32" s="1683"/>
      <c r="L32" s="1681">
        <v>8806289.7799999993</v>
      </c>
      <c r="M32" s="1682">
        <f t="shared" si="2"/>
        <v>1849320.8537999997</v>
      </c>
      <c r="N32" s="1681">
        <v>669278.02327999996</v>
      </c>
      <c r="O32" s="1682">
        <f t="shared" si="3"/>
        <v>-140548.38488879998</v>
      </c>
      <c r="P32" s="1682">
        <f t="shared" si="4"/>
        <v>2378050.4921911997</v>
      </c>
      <c r="Q32" s="1684"/>
      <c r="R32" s="1682">
        <f t="shared" si="5"/>
        <v>1139181.6459407997</v>
      </c>
      <c r="S32" s="1683"/>
      <c r="T32" s="1681">
        <v>0</v>
      </c>
      <c r="U32" s="1683"/>
      <c r="V32" s="1681">
        <v>0</v>
      </c>
      <c r="W32" s="1683"/>
      <c r="X32" s="1682">
        <f t="shared" si="6"/>
        <v>1139181.6459407997</v>
      </c>
      <c r="Y32" s="1677"/>
      <c r="Z32" s="1678" t="s">
        <v>1794</v>
      </c>
      <c r="AA32" s="1679"/>
      <c r="AB32" s="1678" t="s">
        <v>37</v>
      </c>
      <c r="AC32" s="1679"/>
      <c r="AD32" s="1680">
        <v>0</v>
      </c>
      <c r="AE32" s="1679"/>
      <c r="AF32" s="1682">
        <f t="shared" si="7"/>
        <v>0</v>
      </c>
      <c r="AG32" s="1679"/>
      <c r="AH32" s="1673">
        <v>190</v>
      </c>
      <c r="AI32" s="1673"/>
    </row>
    <row r="33" spans="2:35" ht="15">
      <c r="B33" s="1673">
        <v>22</v>
      </c>
      <c r="C33" s="1674" t="s">
        <v>1795</v>
      </c>
      <c r="D33" s="1674" t="s">
        <v>354</v>
      </c>
      <c r="E33" s="1674" t="s">
        <v>1772</v>
      </c>
      <c r="F33" s="1681">
        <v>7074536.3300000001</v>
      </c>
      <c r="G33" s="1682">
        <f t="shared" si="0"/>
        <v>2476087.7154999999</v>
      </c>
      <c r="H33" s="1681">
        <v>537664.76107999997</v>
      </c>
      <c r="I33" s="1682">
        <f t="shared" si="1"/>
        <v>-188182.66637799997</v>
      </c>
      <c r="J33" s="1682">
        <f t="shared" si="8"/>
        <v>2825569.8102020002</v>
      </c>
      <c r="K33" s="1683"/>
      <c r="L33" s="1681">
        <v>7074536.3300000001</v>
      </c>
      <c r="M33" s="1682">
        <f t="shared" si="2"/>
        <v>1485652.6292999999</v>
      </c>
      <c r="N33" s="1681">
        <v>537664.76107999997</v>
      </c>
      <c r="O33" s="1682">
        <f t="shared" si="3"/>
        <v>-112909.59982679998</v>
      </c>
      <c r="P33" s="1682">
        <f t="shared" si="4"/>
        <v>1910407.7905531998</v>
      </c>
      <c r="Q33" s="1684"/>
      <c r="R33" s="1682">
        <f t="shared" si="5"/>
        <v>915162.01964880037</v>
      </c>
      <c r="S33" s="1683"/>
      <c r="T33" s="1681">
        <v>0</v>
      </c>
      <c r="U33" s="1683"/>
      <c r="V33" s="1681">
        <v>0</v>
      </c>
      <c r="W33" s="1683"/>
      <c r="X33" s="1682">
        <f t="shared" si="6"/>
        <v>915162.01964880037</v>
      </c>
      <c r="Y33" s="1677"/>
      <c r="Z33" s="1678" t="s">
        <v>1774</v>
      </c>
      <c r="AA33" s="1679"/>
      <c r="AB33" s="1678" t="s">
        <v>37</v>
      </c>
      <c r="AC33" s="1679"/>
      <c r="AD33" s="1680">
        <v>0</v>
      </c>
      <c r="AE33" s="1679"/>
      <c r="AF33" s="1682">
        <f t="shared" si="7"/>
        <v>0</v>
      </c>
      <c r="AG33" s="1679"/>
      <c r="AH33" s="1673">
        <v>190</v>
      </c>
      <c r="AI33" s="1673"/>
    </row>
    <row r="34" spans="2:35" ht="15">
      <c r="B34" s="1673">
        <v>23</v>
      </c>
      <c r="C34" s="1674" t="s">
        <v>1796</v>
      </c>
      <c r="D34" s="1674" t="s">
        <v>354</v>
      </c>
      <c r="E34" s="1674" t="s">
        <v>1772</v>
      </c>
      <c r="F34" s="1681">
        <v>2516575.08</v>
      </c>
      <c r="G34" s="1682">
        <f t="shared" si="0"/>
        <v>880801.27799999993</v>
      </c>
      <c r="H34" s="1681">
        <v>191259.70608</v>
      </c>
      <c r="I34" s="1682">
        <f t="shared" si="1"/>
        <v>-66940.897127999997</v>
      </c>
      <c r="J34" s="1682">
        <f t="shared" si="8"/>
        <v>1005120.0869519998</v>
      </c>
      <c r="K34" s="1683"/>
      <c r="L34" s="1681">
        <v>2516575.08</v>
      </c>
      <c r="M34" s="1682">
        <f t="shared" si="2"/>
        <v>528480.76679999998</v>
      </c>
      <c r="N34" s="1681">
        <v>191259.70608</v>
      </c>
      <c r="O34" s="1682">
        <f t="shared" si="3"/>
        <v>-40164.538276799998</v>
      </c>
      <c r="P34" s="1682">
        <f t="shared" si="4"/>
        <v>679575.93460320006</v>
      </c>
      <c r="Q34" s="1684"/>
      <c r="R34" s="1682">
        <f t="shared" si="5"/>
        <v>325544.15234879975</v>
      </c>
      <c r="S34" s="1683"/>
      <c r="T34" s="1681">
        <v>0</v>
      </c>
      <c r="U34" s="1683"/>
      <c r="V34" s="1681">
        <v>0</v>
      </c>
      <c r="W34" s="1683"/>
      <c r="X34" s="1682">
        <f t="shared" si="6"/>
        <v>325544.15234879975</v>
      </c>
      <c r="Y34" s="1677"/>
      <c r="Z34" s="1678" t="s">
        <v>1774</v>
      </c>
      <c r="AA34" s="1679"/>
      <c r="AB34" s="1678" t="s">
        <v>37</v>
      </c>
      <c r="AC34" s="1679"/>
      <c r="AD34" s="1680">
        <v>0</v>
      </c>
      <c r="AE34" s="1679"/>
      <c r="AF34" s="1682">
        <f t="shared" si="7"/>
        <v>0</v>
      </c>
      <c r="AG34" s="1679"/>
      <c r="AH34" s="1673">
        <v>190</v>
      </c>
      <c r="AI34" s="1673"/>
    </row>
    <row r="35" spans="2:35" ht="15">
      <c r="B35" s="1673">
        <v>24</v>
      </c>
      <c r="C35" s="1674" t="s">
        <v>1797</v>
      </c>
      <c r="D35" s="1674" t="s">
        <v>354</v>
      </c>
      <c r="E35" s="1674" t="s">
        <v>1772</v>
      </c>
      <c r="F35" s="1681">
        <v>2209792.4300000002</v>
      </c>
      <c r="G35" s="1682">
        <f t="shared" si="0"/>
        <v>773427.35050000006</v>
      </c>
      <c r="H35" s="1681">
        <v>167944.22468000001</v>
      </c>
      <c r="I35" s="1682">
        <f t="shared" si="1"/>
        <v>-58780.478638000001</v>
      </c>
      <c r="J35" s="1682">
        <f t="shared" si="8"/>
        <v>882591.09654200007</v>
      </c>
      <c r="K35" s="1683"/>
      <c r="L35" s="1681">
        <v>2209792.4300000002</v>
      </c>
      <c r="M35" s="1682">
        <f t="shared" si="2"/>
        <v>464056.41030000005</v>
      </c>
      <c r="N35" s="1681">
        <v>167944.22468000001</v>
      </c>
      <c r="O35" s="1682">
        <f t="shared" si="3"/>
        <v>-35268.287182799999</v>
      </c>
      <c r="P35" s="1682">
        <f t="shared" si="4"/>
        <v>596732.34779720008</v>
      </c>
      <c r="Q35" s="1684"/>
      <c r="R35" s="1682">
        <f t="shared" si="5"/>
        <v>285858.74874479999</v>
      </c>
      <c r="S35" s="1683"/>
      <c r="T35" s="1681">
        <v>0</v>
      </c>
      <c r="U35" s="1683"/>
      <c r="V35" s="1681">
        <v>0</v>
      </c>
      <c r="W35" s="1683"/>
      <c r="X35" s="1682">
        <f t="shared" si="6"/>
        <v>285858.74874479999</v>
      </c>
      <c r="Y35" s="1677"/>
      <c r="Z35" s="1678" t="s">
        <v>1794</v>
      </c>
      <c r="AA35" s="1679"/>
      <c r="AB35" s="1678" t="s">
        <v>37</v>
      </c>
      <c r="AC35" s="1679"/>
      <c r="AD35" s="1680">
        <v>0</v>
      </c>
      <c r="AE35" s="1679"/>
      <c r="AF35" s="1682">
        <f t="shared" si="7"/>
        <v>0</v>
      </c>
      <c r="AG35" s="1679"/>
      <c r="AH35" s="1673">
        <v>190</v>
      </c>
      <c r="AI35" s="1673"/>
    </row>
    <row r="36" spans="2:35" ht="15">
      <c r="B36" s="1673">
        <v>25</v>
      </c>
      <c r="C36" s="1674" t="s">
        <v>1798</v>
      </c>
      <c r="D36" s="1674" t="s">
        <v>357</v>
      </c>
      <c r="E36" s="1674" t="s">
        <v>1772</v>
      </c>
      <c r="F36" s="1681">
        <v>0</v>
      </c>
      <c r="G36" s="1682">
        <f t="shared" si="0"/>
        <v>0</v>
      </c>
      <c r="H36" s="1681">
        <v>12533.445</v>
      </c>
      <c r="I36" s="1682">
        <f t="shared" si="1"/>
        <v>-4386.7057499999992</v>
      </c>
      <c r="J36" s="1682">
        <f t="shared" si="8"/>
        <v>8146.7392500000005</v>
      </c>
      <c r="K36" s="1683"/>
      <c r="L36" s="1681">
        <v>0</v>
      </c>
      <c r="M36" s="1682">
        <f t="shared" si="2"/>
        <v>0</v>
      </c>
      <c r="N36" s="1681">
        <v>12533.445</v>
      </c>
      <c r="O36" s="1682">
        <f t="shared" si="3"/>
        <v>-2632.0234499999997</v>
      </c>
      <c r="P36" s="1682">
        <f t="shared" si="4"/>
        <v>9901.4215499999991</v>
      </c>
      <c r="Q36" s="1684"/>
      <c r="R36" s="1682">
        <f t="shared" si="5"/>
        <v>-1754.6822999999986</v>
      </c>
      <c r="S36" s="1683"/>
      <c r="T36" s="1681">
        <v>-1754.6822999999986</v>
      </c>
      <c r="U36" s="1683"/>
      <c r="V36" s="1681">
        <v>0</v>
      </c>
      <c r="W36" s="1683"/>
      <c r="X36" s="1682">
        <f t="shared" si="6"/>
        <v>0</v>
      </c>
      <c r="Y36" s="1677"/>
      <c r="Z36" s="1678" t="s">
        <v>347</v>
      </c>
      <c r="AA36" s="1679"/>
      <c r="AB36" s="1678" t="s">
        <v>37</v>
      </c>
      <c r="AC36" s="1679"/>
      <c r="AD36" s="1680">
        <v>0</v>
      </c>
      <c r="AE36" s="1679"/>
      <c r="AF36" s="1682">
        <f t="shared" si="7"/>
        <v>0</v>
      </c>
      <c r="AG36" s="1679"/>
      <c r="AH36" s="1673">
        <v>190</v>
      </c>
      <c r="AI36" s="1673"/>
    </row>
    <row r="37" spans="2:35" ht="15">
      <c r="B37" s="1673">
        <v>26</v>
      </c>
      <c r="C37" s="1674" t="s">
        <v>1799</v>
      </c>
      <c r="D37" s="1674" t="s">
        <v>357</v>
      </c>
      <c r="E37" s="1674" t="s">
        <v>1772</v>
      </c>
      <c r="F37" s="1681">
        <v>0</v>
      </c>
      <c r="G37" s="1682">
        <f t="shared" si="0"/>
        <v>0</v>
      </c>
      <c r="H37" s="1681">
        <v>8634.1509999999998</v>
      </c>
      <c r="I37" s="1682">
        <f t="shared" si="1"/>
        <v>-3021.9528499999997</v>
      </c>
      <c r="J37" s="1682">
        <f t="shared" si="8"/>
        <v>5612.1981500000002</v>
      </c>
      <c r="K37" s="1683"/>
      <c r="L37" s="1681">
        <v>0</v>
      </c>
      <c r="M37" s="1682">
        <f t="shared" si="2"/>
        <v>0</v>
      </c>
      <c r="N37" s="1681">
        <v>8634.1509999999998</v>
      </c>
      <c r="O37" s="1682">
        <f t="shared" si="3"/>
        <v>-1813.1717099999998</v>
      </c>
      <c r="P37" s="1682">
        <f t="shared" si="4"/>
        <v>6820.9792900000002</v>
      </c>
      <c r="Q37" s="1684"/>
      <c r="R37" s="1682">
        <f t="shared" si="5"/>
        <v>-1208.7811400000001</v>
      </c>
      <c r="S37" s="1683"/>
      <c r="T37" s="1681">
        <v>-1208.7811400000001</v>
      </c>
      <c r="U37" s="1683"/>
      <c r="V37" s="1681">
        <v>0</v>
      </c>
      <c r="W37" s="1683"/>
      <c r="X37" s="1682">
        <f t="shared" si="6"/>
        <v>0</v>
      </c>
      <c r="Y37" s="1677"/>
      <c r="Z37" s="1678" t="s">
        <v>347</v>
      </c>
      <c r="AA37" s="1679"/>
      <c r="AB37" s="1678" t="s">
        <v>37</v>
      </c>
      <c r="AC37" s="1679"/>
      <c r="AD37" s="1680">
        <v>0</v>
      </c>
      <c r="AE37" s="1679"/>
      <c r="AF37" s="1682">
        <f t="shared" si="7"/>
        <v>0</v>
      </c>
      <c r="AG37" s="1679"/>
      <c r="AH37" s="1673">
        <v>190</v>
      </c>
      <c r="AI37" s="1673"/>
    </row>
    <row r="38" spans="2:35" ht="15">
      <c r="B38" s="1673">
        <v>27</v>
      </c>
      <c r="C38" s="1674" t="s">
        <v>1800</v>
      </c>
      <c r="D38" s="1674" t="s">
        <v>1801</v>
      </c>
      <c r="E38" s="1674" t="s">
        <v>1772</v>
      </c>
      <c r="F38" s="1681">
        <v>12748541</v>
      </c>
      <c r="G38" s="1682">
        <f t="shared" si="0"/>
        <v>4461989.3499999996</v>
      </c>
      <c r="H38" s="1681">
        <v>0</v>
      </c>
      <c r="I38" s="1682">
        <f t="shared" si="1"/>
        <v>0</v>
      </c>
      <c r="J38" s="1682">
        <f t="shared" si="8"/>
        <v>4461989.3499999996</v>
      </c>
      <c r="K38" s="1683"/>
      <c r="L38" s="1681">
        <v>12748541</v>
      </c>
      <c r="M38" s="1682">
        <f t="shared" si="2"/>
        <v>2677193.61</v>
      </c>
      <c r="N38" s="1681">
        <v>0</v>
      </c>
      <c r="O38" s="1682">
        <f t="shared" si="3"/>
        <v>0</v>
      </c>
      <c r="P38" s="1682">
        <f t="shared" si="4"/>
        <v>2677193.61</v>
      </c>
      <c r="Q38" s="1684"/>
      <c r="R38" s="1682">
        <f t="shared" si="5"/>
        <v>1784795.7399999998</v>
      </c>
      <c r="S38" s="1683"/>
      <c r="T38" s="1681">
        <v>1784795.7399999998</v>
      </c>
      <c r="U38" s="1683"/>
      <c r="V38" s="1681">
        <v>0</v>
      </c>
      <c r="W38" s="1683"/>
      <c r="X38" s="1682">
        <f t="shared" si="6"/>
        <v>0</v>
      </c>
      <c r="Y38" s="1677"/>
      <c r="Z38" s="1678" t="s">
        <v>347</v>
      </c>
      <c r="AA38" s="1679"/>
      <c r="AB38" s="1678" t="s">
        <v>37</v>
      </c>
      <c r="AC38" s="1679"/>
      <c r="AD38" s="1680">
        <v>0</v>
      </c>
      <c r="AE38" s="1679"/>
      <c r="AF38" s="1682">
        <f t="shared" si="7"/>
        <v>0</v>
      </c>
      <c r="AG38" s="1679"/>
      <c r="AH38" s="1673">
        <v>190</v>
      </c>
      <c r="AI38" s="1673"/>
    </row>
    <row r="39" spans="2:35" ht="15">
      <c r="B39" s="1673">
        <v>28</v>
      </c>
      <c r="C39" s="1674" t="s">
        <v>1802</v>
      </c>
      <c r="D39" s="1674" t="s">
        <v>1801</v>
      </c>
      <c r="E39" s="1674" t="s">
        <v>1772</v>
      </c>
      <c r="F39" s="1681">
        <v>0</v>
      </c>
      <c r="G39" s="1682">
        <f t="shared" si="0"/>
        <v>0</v>
      </c>
      <c r="H39" s="1681">
        <v>626544.94499999995</v>
      </c>
      <c r="I39" s="1682">
        <f t="shared" si="1"/>
        <v>-219290.73074999996</v>
      </c>
      <c r="J39" s="1682">
        <f t="shared" si="8"/>
        <v>407254.21424999996</v>
      </c>
      <c r="K39" s="1683"/>
      <c r="L39" s="1681">
        <v>0</v>
      </c>
      <c r="M39" s="1682">
        <f t="shared" si="2"/>
        <v>0</v>
      </c>
      <c r="N39" s="1681">
        <v>626544.94499999995</v>
      </c>
      <c r="O39" s="1682">
        <f t="shared" si="3"/>
        <v>-131574.43844999999</v>
      </c>
      <c r="P39" s="1682">
        <f t="shared" si="4"/>
        <v>494970.50654999993</v>
      </c>
      <c r="Q39" s="1684"/>
      <c r="R39" s="1682">
        <f t="shared" si="5"/>
        <v>-87716.292299999972</v>
      </c>
      <c r="S39" s="1683"/>
      <c r="T39" s="1681">
        <v>-87716.292299999972</v>
      </c>
      <c r="U39" s="1683"/>
      <c r="V39" s="1681">
        <v>0</v>
      </c>
      <c r="W39" s="1683"/>
      <c r="X39" s="1682">
        <f t="shared" si="6"/>
        <v>0</v>
      </c>
      <c r="Y39" s="1677"/>
      <c r="Z39" s="1678" t="s">
        <v>347</v>
      </c>
      <c r="AA39" s="1679"/>
      <c r="AB39" s="1678" t="s">
        <v>37</v>
      </c>
      <c r="AC39" s="1679"/>
      <c r="AD39" s="1680">
        <v>0</v>
      </c>
      <c r="AE39" s="1679"/>
      <c r="AF39" s="1682">
        <f t="shared" si="7"/>
        <v>0</v>
      </c>
      <c r="AG39" s="1679"/>
      <c r="AH39" s="1673">
        <v>190</v>
      </c>
      <c r="AI39" s="1673"/>
    </row>
    <row r="40" spans="2:35" ht="15">
      <c r="B40" s="1673">
        <v>29</v>
      </c>
      <c r="C40" s="1674" t="s">
        <v>1803</v>
      </c>
      <c r="D40" s="1674" t="s">
        <v>1801</v>
      </c>
      <c r="E40" s="1674" t="s">
        <v>1772</v>
      </c>
      <c r="F40" s="1681">
        <v>0</v>
      </c>
      <c r="G40" s="1682">
        <f t="shared" si="0"/>
        <v>0</v>
      </c>
      <c r="H40" s="1681">
        <v>438135.18300000002</v>
      </c>
      <c r="I40" s="1682">
        <f t="shared" si="1"/>
        <v>-153347.31404999999</v>
      </c>
      <c r="J40" s="1682">
        <f t="shared" si="8"/>
        <v>284787.86895000003</v>
      </c>
      <c r="K40" s="1683"/>
      <c r="L40" s="1681">
        <v>0</v>
      </c>
      <c r="M40" s="1682">
        <f t="shared" si="2"/>
        <v>0</v>
      </c>
      <c r="N40" s="1681">
        <v>438135.18300000002</v>
      </c>
      <c r="O40" s="1682">
        <f t="shared" si="3"/>
        <v>-92008.388430000006</v>
      </c>
      <c r="P40" s="1682">
        <f t="shared" si="4"/>
        <v>346126.79457000003</v>
      </c>
      <c r="Q40" s="1684"/>
      <c r="R40" s="1682">
        <f t="shared" si="5"/>
        <v>-61338.925619999995</v>
      </c>
      <c r="S40" s="1683"/>
      <c r="T40" s="1681">
        <v>-61338.925619999995</v>
      </c>
      <c r="U40" s="1683"/>
      <c r="V40" s="1681">
        <v>0</v>
      </c>
      <c r="W40" s="1683"/>
      <c r="X40" s="1682">
        <f t="shared" si="6"/>
        <v>0</v>
      </c>
      <c r="Y40" s="1677"/>
      <c r="Z40" s="1678" t="s">
        <v>347</v>
      </c>
      <c r="AA40" s="1679"/>
      <c r="AB40" s="1678" t="s">
        <v>37</v>
      </c>
      <c r="AC40" s="1679"/>
      <c r="AD40" s="1680">
        <v>0</v>
      </c>
      <c r="AE40" s="1679"/>
      <c r="AF40" s="1682">
        <f t="shared" si="7"/>
        <v>0</v>
      </c>
      <c r="AG40" s="1679"/>
      <c r="AH40" s="1673">
        <v>190</v>
      </c>
      <c r="AI40" s="1673"/>
    </row>
    <row r="41" spans="2:35" ht="15">
      <c r="B41" s="1673">
        <v>30</v>
      </c>
      <c r="C41" s="1674" t="s">
        <v>1804</v>
      </c>
      <c r="D41" s="1674" t="s">
        <v>353</v>
      </c>
      <c r="E41" s="1674" t="s">
        <v>1772</v>
      </c>
      <c r="F41" s="1681">
        <v>3175708</v>
      </c>
      <c r="G41" s="1682">
        <f t="shared" si="0"/>
        <v>1111497.7999999998</v>
      </c>
      <c r="H41" s="1681">
        <v>241353.80799999999</v>
      </c>
      <c r="I41" s="1682">
        <f t="shared" si="1"/>
        <v>-84473.832799999989</v>
      </c>
      <c r="J41" s="1682">
        <f t="shared" si="8"/>
        <v>1268377.7751999998</v>
      </c>
      <c r="K41" s="1683"/>
      <c r="L41" s="1681">
        <v>3175708</v>
      </c>
      <c r="M41" s="1682">
        <f t="shared" si="2"/>
        <v>666898.67999999993</v>
      </c>
      <c r="N41" s="1681">
        <v>241353.80799999999</v>
      </c>
      <c r="O41" s="1682">
        <f t="shared" si="3"/>
        <v>-50684.299679999996</v>
      </c>
      <c r="P41" s="1682">
        <f t="shared" si="4"/>
        <v>857568.18831999996</v>
      </c>
      <c r="Q41" s="1684"/>
      <c r="R41" s="1682">
        <f t="shared" si="5"/>
        <v>410809.58687999984</v>
      </c>
      <c r="S41" s="1683"/>
      <c r="T41" s="1681">
        <v>0</v>
      </c>
      <c r="U41" s="1683"/>
      <c r="V41" s="1681">
        <v>0</v>
      </c>
      <c r="W41" s="1683"/>
      <c r="X41" s="1682">
        <f t="shared" si="6"/>
        <v>410809.58687999984</v>
      </c>
      <c r="Y41" s="1677"/>
      <c r="Z41" s="1678" t="s">
        <v>347</v>
      </c>
      <c r="AA41" s="1679"/>
      <c r="AB41" s="1678" t="s">
        <v>36</v>
      </c>
      <c r="AC41" s="1679"/>
      <c r="AD41" s="1680">
        <v>0.10089999999999999</v>
      </c>
      <c r="AE41" s="1679"/>
      <c r="AF41" s="1682">
        <f t="shared" si="7"/>
        <v>41450.687316191979</v>
      </c>
      <c r="AG41" s="1679"/>
      <c r="AH41" s="1673">
        <v>190</v>
      </c>
      <c r="AI41" s="1673"/>
    </row>
    <row r="42" spans="2:35" ht="15">
      <c r="B42" s="1673">
        <v>31</v>
      </c>
      <c r="C42" s="1674" t="s">
        <v>1805</v>
      </c>
      <c r="D42" s="1674" t="s">
        <v>353</v>
      </c>
      <c r="E42" s="1674" t="s">
        <v>1772</v>
      </c>
      <c r="F42" s="1681">
        <v>771973.91</v>
      </c>
      <c r="G42" s="1682">
        <f t="shared" si="0"/>
        <v>270190.86849999998</v>
      </c>
      <c r="H42" s="1681">
        <v>58670.017160000003</v>
      </c>
      <c r="I42" s="1682">
        <f t="shared" si="1"/>
        <v>-20534.506006</v>
      </c>
      <c r="J42" s="1682">
        <f t="shared" si="8"/>
        <v>308326.37965399999</v>
      </c>
      <c r="K42" s="1683"/>
      <c r="L42" s="1681">
        <v>771973.91</v>
      </c>
      <c r="M42" s="1682">
        <f t="shared" si="2"/>
        <v>162114.52110000001</v>
      </c>
      <c r="N42" s="1681">
        <v>58670.017160000003</v>
      </c>
      <c r="O42" s="1682">
        <f t="shared" si="3"/>
        <v>-12320.703603600001</v>
      </c>
      <c r="P42" s="1682">
        <f t="shared" si="4"/>
        <v>208463.83465639999</v>
      </c>
      <c r="Q42" s="1684"/>
      <c r="R42" s="1682">
        <f t="shared" si="5"/>
        <v>99862.544997599995</v>
      </c>
      <c r="S42" s="1683"/>
      <c r="T42" s="1681">
        <v>0</v>
      </c>
      <c r="U42" s="1683"/>
      <c r="V42" s="1681">
        <v>0</v>
      </c>
      <c r="W42" s="1683"/>
      <c r="X42" s="1682">
        <f t="shared" si="6"/>
        <v>99862.544997599995</v>
      </c>
      <c r="Y42" s="1677"/>
      <c r="Z42" s="1678" t="s">
        <v>347</v>
      </c>
      <c r="AA42" s="1679"/>
      <c r="AB42" s="1678" t="s">
        <v>36</v>
      </c>
      <c r="AC42" s="1679"/>
      <c r="AD42" s="1680">
        <v>0.10089999999999999</v>
      </c>
      <c r="AE42" s="1679"/>
      <c r="AF42" s="1682">
        <f t="shared" si="7"/>
        <v>10076.130790257839</v>
      </c>
      <c r="AG42" s="1679"/>
      <c r="AH42" s="1673">
        <v>190</v>
      </c>
      <c r="AI42" s="1673"/>
    </row>
    <row r="43" spans="2:35" ht="15">
      <c r="B43" s="1673">
        <v>32</v>
      </c>
      <c r="C43" s="1674" t="s">
        <v>1806</v>
      </c>
      <c r="D43" s="1674" t="s">
        <v>353</v>
      </c>
      <c r="E43" s="1674" t="s">
        <v>1772</v>
      </c>
      <c r="F43" s="1681">
        <v>-22102</v>
      </c>
      <c r="G43" s="1682">
        <f t="shared" si="0"/>
        <v>-7735.7</v>
      </c>
      <c r="H43" s="1681">
        <v>-1679.752</v>
      </c>
      <c r="I43" s="1682">
        <f t="shared" si="1"/>
        <v>587.91319999999996</v>
      </c>
      <c r="J43" s="1682">
        <f t="shared" si="8"/>
        <v>-8827.5387999999984</v>
      </c>
      <c r="K43" s="1683"/>
      <c r="L43" s="1681">
        <v>-22102</v>
      </c>
      <c r="M43" s="1682">
        <f t="shared" si="2"/>
        <v>-4641.42</v>
      </c>
      <c r="N43" s="1681">
        <v>-1679.752</v>
      </c>
      <c r="O43" s="1682">
        <f t="shared" si="3"/>
        <v>352.74791999999997</v>
      </c>
      <c r="P43" s="1682">
        <f t="shared" si="4"/>
        <v>-5968.4240800000007</v>
      </c>
      <c r="Q43" s="1684"/>
      <c r="R43" s="1682">
        <f t="shared" si="5"/>
        <v>-2859.1147199999978</v>
      </c>
      <c r="S43" s="1683"/>
      <c r="T43" s="1681">
        <v>-2859.1147199999996</v>
      </c>
      <c r="U43" s="1683"/>
      <c r="V43" s="1681">
        <v>0</v>
      </c>
      <c r="W43" s="1683"/>
      <c r="X43" s="1682">
        <f t="shared" si="6"/>
        <v>1.8189894035458565E-12</v>
      </c>
      <c r="Y43" s="1677"/>
      <c r="Z43" s="1678" t="s">
        <v>347</v>
      </c>
      <c r="AA43" s="1679"/>
      <c r="AB43" s="1678" t="s">
        <v>37</v>
      </c>
      <c r="AC43" s="1679"/>
      <c r="AD43" s="1680">
        <v>0</v>
      </c>
      <c r="AE43" s="1679"/>
      <c r="AF43" s="1682">
        <f t="shared" si="7"/>
        <v>0</v>
      </c>
      <c r="AG43" s="1679"/>
      <c r="AH43" s="1673">
        <v>190</v>
      </c>
      <c r="AI43" s="1673"/>
    </row>
    <row r="44" spans="2:35" ht="15">
      <c r="B44" s="1673">
        <v>33</v>
      </c>
      <c r="C44" s="1674" t="s">
        <v>1807</v>
      </c>
      <c r="D44" s="1674" t="s">
        <v>356</v>
      </c>
      <c r="E44" s="1674" t="s">
        <v>1772</v>
      </c>
      <c r="F44" s="1681">
        <v>26684952.210000001</v>
      </c>
      <c r="G44" s="1682">
        <f t="shared" si="0"/>
        <v>9339733.2734999992</v>
      </c>
      <c r="H44" s="1681">
        <v>2028056.3679599999</v>
      </c>
      <c r="I44" s="1682">
        <f t="shared" si="1"/>
        <v>-709819.72878599993</v>
      </c>
      <c r="J44" s="1682">
        <f t="shared" si="8"/>
        <v>10657969.912674</v>
      </c>
      <c r="K44" s="1683"/>
      <c r="L44" s="1681">
        <v>26684952.210000001</v>
      </c>
      <c r="M44" s="1682">
        <f t="shared" si="2"/>
        <v>5603839.9640999995</v>
      </c>
      <c r="N44" s="1681">
        <v>2028056.3679599999</v>
      </c>
      <c r="O44" s="1682">
        <f t="shared" si="3"/>
        <v>-425891.83727159997</v>
      </c>
      <c r="P44" s="1682">
        <f t="shared" si="4"/>
        <v>7206004.4947883999</v>
      </c>
      <c r="Q44" s="1684"/>
      <c r="R44" s="1682">
        <f t="shared" si="5"/>
        <v>3451965.4178856006</v>
      </c>
      <c r="S44" s="1683"/>
      <c r="T44" s="1681">
        <v>0</v>
      </c>
      <c r="U44" s="1683"/>
      <c r="V44" s="1681">
        <v>0</v>
      </c>
      <c r="W44" s="1683"/>
      <c r="X44" s="1682">
        <f t="shared" si="6"/>
        <v>3451965.4178856006</v>
      </c>
      <c r="Y44" s="1677"/>
      <c r="Z44" s="1678" t="s">
        <v>347</v>
      </c>
      <c r="AA44" s="1679"/>
      <c r="AB44" s="1678" t="s">
        <v>37</v>
      </c>
      <c r="AC44" s="1679"/>
      <c r="AD44" s="1680">
        <v>0</v>
      </c>
      <c r="AE44" s="1679"/>
      <c r="AF44" s="1682">
        <f t="shared" si="7"/>
        <v>0</v>
      </c>
      <c r="AG44" s="1679"/>
      <c r="AH44" s="1673">
        <v>190</v>
      </c>
      <c r="AI44" s="1673"/>
    </row>
    <row r="45" spans="2:35" ht="15">
      <c r="B45" s="1673">
        <v>34</v>
      </c>
      <c r="C45" s="1674" t="s">
        <v>1808</v>
      </c>
      <c r="D45" s="1674" t="s">
        <v>358</v>
      </c>
      <c r="E45" s="1674" t="s">
        <v>1772</v>
      </c>
      <c r="F45" s="1681">
        <v>36501921.700000003</v>
      </c>
      <c r="G45" s="1682">
        <f t="shared" si="0"/>
        <v>12775672.595000001</v>
      </c>
      <c r="H45" s="1681">
        <v>2774146.0492000002</v>
      </c>
      <c r="I45" s="1682">
        <f t="shared" si="1"/>
        <v>-970951.11722000001</v>
      </c>
      <c r="J45" s="1682">
        <f t="shared" si="8"/>
        <v>14578867.526980001</v>
      </c>
      <c r="K45" s="1683"/>
      <c r="L45" s="1681">
        <v>36501921.700000003</v>
      </c>
      <c r="M45" s="1682">
        <f t="shared" si="2"/>
        <v>7665403.557</v>
      </c>
      <c r="N45" s="1681">
        <v>2774146.0492000002</v>
      </c>
      <c r="O45" s="1682">
        <f t="shared" si="3"/>
        <v>-582570.67033200001</v>
      </c>
      <c r="P45" s="1682">
        <f t="shared" si="4"/>
        <v>9856978.9358680006</v>
      </c>
      <c r="Q45" s="1684"/>
      <c r="R45" s="1682">
        <f t="shared" si="5"/>
        <v>4721888.5911120009</v>
      </c>
      <c r="S45" s="1683"/>
      <c r="T45" s="1681">
        <v>0</v>
      </c>
      <c r="U45" s="1683"/>
      <c r="V45" s="1681">
        <v>0</v>
      </c>
      <c r="W45" s="1683"/>
      <c r="X45" s="1682">
        <f t="shared" si="6"/>
        <v>4721888.5911120009</v>
      </c>
      <c r="Y45" s="1677"/>
      <c r="Z45" s="1678" t="s">
        <v>347</v>
      </c>
      <c r="AA45" s="1679"/>
      <c r="AB45" s="1678" t="s">
        <v>36</v>
      </c>
      <c r="AC45" s="1679"/>
      <c r="AD45" s="1680">
        <v>0.10089999999999999</v>
      </c>
      <c r="AE45" s="1679"/>
      <c r="AF45" s="1682">
        <f t="shared" si="7"/>
        <v>476438.55884320085</v>
      </c>
      <c r="AG45" s="1679"/>
      <c r="AH45" s="1673">
        <v>190</v>
      </c>
      <c r="AI45" s="1673"/>
    </row>
    <row r="46" spans="2:35" ht="15">
      <c r="B46" s="1673">
        <v>35</v>
      </c>
      <c r="C46" s="1674" t="s">
        <v>1809</v>
      </c>
      <c r="D46" s="1674" t="s">
        <v>363</v>
      </c>
      <c r="E46" s="1674" t="s">
        <v>1772</v>
      </c>
      <c r="F46" s="1681">
        <v>305637</v>
      </c>
      <c r="G46" s="1682">
        <f t="shared" si="0"/>
        <v>106972.95</v>
      </c>
      <c r="H46" s="1681">
        <v>23228.412</v>
      </c>
      <c r="I46" s="1682">
        <f t="shared" si="1"/>
        <v>-8129.9441999999999</v>
      </c>
      <c r="J46" s="1682">
        <f t="shared" si="8"/>
        <v>122071.4178</v>
      </c>
      <c r="K46" s="1683"/>
      <c r="L46" s="1681">
        <v>305637</v>
      </c>
      <c r="M46" s="1682">
        <f t="shared" si="2"/>
        <v>64183.77</v>
      </c>
      <c r="N46" s="1681">
        <v>23228.412</v>
      </c>
      <c r="O46" s="1682">
        <f t="shared" si="3"/>
        <v>-4877.9665199999999</v>
      </c>
      <c r="P46" s="1682">
        <f t="shared" si="4"/>
        <v>82534.215479999999</v>
      </c>
      <c r="Q46" s="1684"/>
      <c r="R46" s="1682">
        <f t="shared" si="5"/>
        <v>39537.202319999997</v>
      </c>
      <c r="S46" s="1683"/>
      <c r="T46" s="1681">
        <v>39537.202319999997</v>
      </c>
      <c r="U46" s="1683"/>
      <c r="V46" s="1681">
        <v>0</v>
      </c>
      <c r="W46" s="1683"/>
      <c r="X46" s="1682">
        <f t="shared" si="6"/>
        <v>0</v>
      </c>
      <c r="Y46" s="1677"/>
      <c r="Z46" s="1678" t="s">
        <v>347</v>
      </c>
      <c r="AA46" s="1679"/>
      <c r="AB46" s="1678" t="s">
        <v>37</v>
      </c>
      <c r="AC46" s="1679"/>
      <c r="AD46" s="1680">
        <v>0</v>
      </c>
      <c r="AE46" s="1679"/>
      <c r="AF46" s="1682">
        <f t="shared" si="7"/>
        <v>0</v>
      </c>
      <c r="AG46" s="1679"/>
      <c r="AH46" s="1673">
        <v>190</v>
      </c>
      <c r="AI46" s="1673"/>
    </row>
    <row r="47" spans="2:35" ht="15">
      <c r="B47" s="1673">
        <v>36</v>
      </c>
      <c r="C47" s="1674" t="s">
        <v>1810</v>
      </c>
      <c r="D47" s="1674" t="s">
        <v>362</v>
      </c>
      <c r="E47" s="1674" t="s">
        <v>1772</v>
      </c>
      <c r="F47" s="1681">
        <v>789383</v>
      </c>
      <c r="G47" s="1682">
        <f t="shared" si="0"/>
        <v>276284.05</v>
      </c>
      <c r="H47" s="1681">
        <v>59993.108</v>
      </c>
      <c r="I47" s="1682">
        <f t="shared" si="1"/>
        <v>-20997.587799999998</v>
      </c>
      <c r="J47" s="1682">
        <f t="shared" si="8"/>
        <v>315279.57020000002</v>
      </c>
      <c r="K47" s="1683"/>
      <c r="L47" s="1681">
        <v>789383</v>
      </c>
      <c r="M47" s="1682">
        <f t="shared" si="2"/>
        <v>165770.43</v>
      </c>
      <c r="N47" s="1681">
        <v>59993.108</v>
      </c>
      <c r="O47" s="1682">
        <f t="shared" si="3"/>
        <v>-12598.552679999999</v>
      </c>
      <c r="P47" s="1682">
        <f t="shared" si="4"/>
        <v>213164.98532000001</v>
      </c>
      <c r="Q47" s="1684"/>
      <c r="R47" s="1682">
        <f t="shared" si="5"/>
        <v>102114.58488000001</v>
      </c>
      <c r="S47" s="1683"/>
      <c r="T47" s="1681">
        <v>102114.58487999995</v>
      </c>
      <c r="U47" s="1683"/>
      <c r="V47" s="1681">
        <v>0</v>
      </c>
      <c r="W47" s="1683"/>
      <c r="X47" s="1682">
        <f t="shared" si="6"/>
        <v>5.8207660913467407E-11</v>
      </c>
      <c r="Y47" s="1677"/>
      <c r="Z47" s="1678" t="s">
        <v>347</v>
      </c>
      <c r="AA47" s="1679"/>
      <c r="AB47" s="1678" t="s">
        <v>37</v>
      </c>
      <c r="AC47" s="1679"/>
      <c r="AD47" s="1680">
        <v>0</v>
      </c>
      <c r="AE47" s="1679"/>
      <c r="AF47" s="1682">
        <f t="shared" si="7"/>
        <v>0</v>
      </c>
      <c r="AG47" s="1679"/>
      <c r="AH47" s="1673">
        <v>190</v>
      </c>
      <c r="AI47" s="1673"/>
    </row>
    <row r="48" spans="2:35" ht="15">
      <c r="B48" s="1673">
        <v>37</v>
      </c>
      <c r="C48" s="1674" t="s">
        <v>1811</v>
      </c>
      <c r="D48" s="1674" t="s">
        <v>362</v>
      </c>
      <c r="E48" s="1674" t="s">
        <v>1772</v>
      </c>
      <c r="F48" s="1681">
        <v>2068546</v>
      </c>
      <c r="G48" s="1682">
        <f t="shared" si="0"/>
        <v>723991.1</v>
      </c>
      <c r="H48" s="1681">
        <v>157209.49599999998</v>
      </c>
      <c r="I48" s="1682">
        <f t="shared" si="1"/>
        <v>-55023.323599999989</v>
      </c>
      <c r="J48" s="1682">
        <f t="shared" si="8"/>
        <v>826177.2723999999</v>
      </c>
      <c r="K48" s="1683"/>
      <c r="L48" s="1681">
        <v>2068546</v>
      </c>
      <c r="M48" s="1682">
        <f t="shared" si="2"/>
        <v>434394.66</v>
      </c>
      <c r="N48" s="1681">
        <v>157209.49599999998</v>
      </c>
      <c r="O48" s="1682">
        <f t="shared" si="3"/>
        <v>-33013.994159999995</v>
      </c>
      <c r="P48" s="1682">
        <f t="shared" si="4"/>
        <v>558590.16183999996</v>
      </c>
      <c r="Q48" s="1684"/>
      <c r="R48" s="1682">
        <f t="shared" si="5"/>
        <v>267587.11055999994</v>
      </c>
      <c r="S48" s="1683"/>
      <c r="T48" s="1681">
        <v>267587.11055999994</v>
      </c>
      <c r="U48" s="1683"/>
      <c r="V48" s="1681">
        <v>0</v>
      </c>
      <c r="W48" s="1683"/>
      <c r="X48" s="1682">
        <f t="shared" si="6"/>
        <v>0</v>
      </c>
      <c r="Y48" s="1677"/>
      <c r="Z48" s="1678" t="s">
        <v>347</v>
      </c>
      <c r="AA48" s="1679"/>
      <c r="AB48" s="1678" t="s">
        <v>37</v>
      </c>
      <c r="AC48" s="1679"/>
      <c r="AD48" s="1680">
        <v>0</v>
      </c>
      <c r="AE48" s="1679"/>
      <c r="AF48" s="1682">
        <f t="shared" si="7"/>
        <v>0</v>
      </c>
      <c r="AG48" s="1679"/>
      <c r="AH48" s="1673">
        <v>190</v>
      </c>
      <c r="AI48" s="1673"/>
    </row>
    <row r="49" spans="2:35" ht="15">
      <c r="B49" s="1673">
        <v>38</v>
      </c>
      <c r="C49" s="1674" t="s">
        <v>1812</v>
      </c>
      <c r="D49" s="1674" t="s">
        <v>362</v>
      </c>
      <c r="E49" s="1674" t="s">
        <v>1772</v>
      </c>
      <c r="F49" s="1681">
        <v>9120595.5900000036</v>
      </c>
      <c r="G49" s="1682">
        <f t="shared" si="0"/>
        <v>3192208.4565000013</v>
      </c>
      <c r="H49" s="1681">
        <v>693165.26484000031</v>
      </c>
      <c r="I49" s="1682">
        <f t="shared" si="1"/>
        <v>-242607.84269400008</v>
      </c>
      <c r="J49" s="1682">
        <f t="shared" si="8"/>
        <v>3642765.8786460017</v>
      </c>
      <c r="K49" s="1683"/>
      <c r="L49" s="1681">
        <v>9120595.5900000036</v>
      </c>
      <c r="M49" s="1682">
        <f t="shared" si="2"/>
        <v>1915325.0739000007</v>
      </c>
      <c r="N49" s="1681">
        <v>693165.26484000031</v>
      </c>
      <c r="O49" s="1682">
        <f t="shared" si="3"/>
        <v>-145564.70561640005</v>
      </c>
      <c r="P49" s="1682">
        <f t="shared" si="4"/>
        <v>2462925.6331236009</v>
      </c>
      <c r="Q49" s="1684"/>
      <c r="R49" s="1682">
        <f t="shared" si="5"/>
        <v>1179840.2455224008</v>
      </c>
      <c r="S49" s="1683"/>
      <c r="T49" s="1681">
        <v>1179840.2455224008</v>
      </c>
      <c r="U49" s="1683"/>
      <c r="V49" s="1681">
        <v>0</v>
      </c>
      <c r="W49" s="1683"/>
      <c r="X49" s="1682">
        <f t="shared" si="6"/>
        <v>0</v>
      </c>
      <c r="Y49" s="1677"/>
      <c r="Z49" s="1678" t="s">
        <v>347</v>
      </c>
      <c r="AA49" s="1679"/>
      <c r="AB49" s="1678" t="s">
        <v>37</v>
      </c>
      <c r="AC49" s="1679"/>
      <c r="AD49" s="1680">
        <v>0</v>
      </c>
      <c r="AE49" s="1679"/>
      <c r="AF49" s="1682">
        <f t="shared" si="7"/>
        <v>0</v>
      </c>
      <c r="AG49" s="1679"/>
      <c r="AH49" s="1673">
        <v>190</v>
      </c>
      <c r="AI49" s="1673"/>
    </row>
    <row r="50" spans="2:35" ht="15">
      <c r="B50" s="1673">
        <v>39</v>
      </c>
      <c r="C50" s="1674" t="s">
        <v>1813</v>
      </c>
      <c r="D50" s="1674" t="s">
        <v>362</v>
      </c>
      <c r="E50" s="1674" t="s">
        <v>1772</v>
      </c>
      <c r="F50" s="1681">
        <v>5554248.7300000004</v>
      </c>
      <c r="G50" s="1682">
        <f t="shared" si="0"/>
        <v>1943987.0555</v>
      </c>
      <c r="H50" s="1681">
        <v>422122.90348000004</v>
      </c>
      <c r="I50" s="1682">
        <f t="shared" si="1"/>
        <v>-147743.016218</v>
      </c>
      <c r="J50" s="1682">
        <f t="shared" si="8"/>
        <v>2218366.942762</v>
      </c>
      <c r="K50" s="1683"/>
      <c r="L50" s="1681">
        <v>5554248.7300000004</v>
      </c>
      <c r="M50" s="1682">
        <f t="shared" si="2"/>
        <v>1166392.2333</v>
      </c>
      <c r="N50" s="1681">
        <v>422122.90348000004</v>
      </c>
      <c r="O50" s="1682">
        <f t="shared" si="3"/>
        <v>-88645.8097308</v>
      </c>
      <c r="P50" s="1682">
        <f t="shared" si="4"/>
        <v>1499869.3270492</v>
      </c>
      <c r="Q50" s="1684"/>
      <c r="R50" s="1682">
        <f t="shared" si="5"/>
        <v>718497.61571280006</v>
      </c>
      <c r="S50" s="1683"/>
      <c r="T50" s="1681">
        <v>718497.61571280006</v>
      </c>
      <c r="U50" s="1683"/>
      <c r="V50" s="1681">
        <v>0</v>
      </c>
      <c r="W50" s="1683"/>
      <c r="X50" s="1682">
        <f t="shared" si="6"/>
        <v>0</v>
      </c>
      <c r="Y50" s="1677"/>
      <c r="Z50" s="1678" t="s">
        <v>347</v>
      </c>
      <c r="AA50" s="1679"/>
      <c r="AB50" s="1678" t="s">
        <v>37</v>
      </c>
      <c r="AC50" s="1679"/>
      <c r="AD50" s="1680">
        <v>0</v>
      </c>
      <c r="AE50" s="1679"/>
      <c r="AF50" s="1682">
        <f t="shared" si="7"/>
        <v>0</v>
      </c>
      <c r="AG50" s="1679"/>
      <c r="AH50" s="1673">
        <v>190</v>
      </c>
      <c r="AI50" s="1673"/>
    </row>
    <row r="51" spans="2:35" ht="15">
      <c r="B51" s="1673">
        <v>40</v>
      </c>
      <c r="C51" s="1674" t="s">
        <v>1814</v>
      </c>
      <c r="D51" s="1674" t="s">
        <v>362</v>
      </c>
      <c r="E51" s="1674" t="s">
        <v>1772</v>
      </c>
      <c r="F51" s="1681">
        <v>14115127.310000001</v>
      </c>
      <c r="G51" s="1682">
        <f t="shared" si="0"/>
        <v>4940294.5585000003</v>
      </c>
      <c r="H51" s="1681">
        <v>1072749.6755600001</v>
      </c>
      <c r="I51" s="1682">
        <f t="shared" si="1"/>
        <v>-375462.38644600002</v>
      </c>
      <c r="J51" s="1682">
        <f t="shared" si="8"/>
        <v>5637581.8476140006</v>
      </c>
      <c r="K51" s="1683"/>
      <c r="L51" s="1681">
        <v>14115127.310000001</v>
      </c>
      <c r="M51" s="1682">
        <f t="shared" si="2"/>
        <v>2964176.7351000002</v>
      </c>
      <c r="N51" s="1681">
        <v>1072749.6755600001</v>
      </c>
      <c r="O51" s="1682">
        <f t="shared" si="3"/>
        <v>-225277.43186760001</v>
      </c>
      <c r="P51" s="1682">
        <f t="shared" si="4"/>
        <v>3811648.9787924006</v>
      </c>
      <c r="Q51" s="1684"/>
      <c r="R51" s="1682">
        <f t="shared" si="5"/>
        <v>1825932.8688216</v>
      </c>
      <c r="S51" s="1683"/>
      <c r="T51" s="1681">
        <v>1825932.8688216005</v>
      </c>
      <c r="U51" s="1683"/>
      <c r="V51" s="1681">
        <v>0</v>
      </c>
      <c r="W51" s="1683"/>
      <c r="X51" s="1682">
        <f t="shared" si="6"/>
        <v>-4.6566128730773926E-10</v>
      </c>
      <c r="Y51" s="1677"/>
      <c r="Z51" s="1678" t="s">
        <v>347</v>
      </c>
      <c r="AA51" s="1679"/>
      <c r="AB51" s="1678" t="s">
        <v>37</v>
      </c>
      <c r="AC51" s="1679"/>
      <c r="AD51" s="1680">
        <v>0</v>
      </c>
      <c r="AE51" s="1679"/>
      <c r="AF51" s="1682">
        <f t="shared" si="7"/>
        <v>0</v>
      </c>
      <c r="AG51" s="1679"/>
      <c r="AH51" s="1673">
        <v>190</v>
      </c>
      <c r="AI51" s="1673"/>
    </row>
    <row r="52" spans="2:35" ht="15">
      <c r="B52" s="1673">
        <v>41</v>
      </c>
      <c r="C52" s="1674" t="s">
        <v>1815</v>
      </c>
      <c r="D52" s="1674" t="s">
        <v>361</v>
      </c>
      <c r="E52" s="1674" t="s">
        <v>1772</v>
      </c>
      <c r="F52" s="1681">
        <v>701192.23</v>
      </c>
      <c r="G52" s="1682">
        <f t="shared" si="0"/>
        <v>245417.28049999996</v>
      </c>
      <c r="H52" s="1681">
        <v>53290.609479999999</v>
      </c>
      <c r="I52" s="1682">
        <f t="shared" si="1"/>
        <v>-18651.713317999998</v>
      </c>
      <c r="J52" s="1682">
        <f t="shared" si="8"/>
        <v>280056.17666199995</v>
      </c>
      <c r="K52" s="1683"/>
      <c r="L52" s="1681">
        <v>701192.23</v>
      </c>
      <c r="M52" s="1682">
        <f t="shared" si="2"/>
        <v>147250.3683</v>
      </c>
      <c r="N52" s="1681">
        <v>53290.609479999999</v>
      </c>
      <c r="O52" s="1682">
        <f t="shared" si="3"/>
        <v>-11191.027990799999</v>
      </c>
      <c r="P52" s="1682">
        <f t="shared" si="4"/>
        <v>189349.94978920001</v>
      </c>
      <c r="Q52" s="1684"/>
      <c r="R52" s="1682">
        <f t="shared" si="5"/>
        <v>90706.226872799947</v>
      </c>
      <c r="S52" s="1683"/>
      <c r="T52" s="1681">
        <v>0</v>
      </c>
      <c r="U52" s="1683"/>
      <c r="V52" s="1681">
        <v>0</v>
      </c>
      <c r="W52" s="1683"/>
      <c r="X52" s="1682">
        <f t="shared" si="6"/>
        <v>90706.226872799947</v>
      </c>
      <c r="Y52" s="1677"/>
      <c r="Z52" s="1678" t="s">
        <v>1774</v>
      </c>
      <c r="AA52" s="1679"/>
      <c r="AB52" s="1678" t="s">
        <v>37</v>
      </c>
      <c r="AC52" s="1679"/>
      <c r="AD52" s="1680">
        <v>0</v>
      </c>
      <c r="AE52" s="1679"/>
      <c r="AF52" s="1682">
        <f t="shared" si="7"/>
        <v>0</v>
      </c>
      <c r="AG52" s="1679"/>
      <c r="AH52" s="1673">
        <v>190</v>
      </c>
      <c r="AI52" s="1673"/>
    </row>
    <row r="53" spans="2:35" ht="15">
      <c r="B53" s="1673">
        <v>42</v>
      </c>
      <c r="C53" s="1674" t="s">
        <v>1816</v>
      </c>
      <c r="D53" s="1674" t="s">
        <v>361</v>
      </c>
      <c r="E53" s="1674" t="s">
        <v>1772</v>
      </c>
      <c r="F53" s="1681">
        <v>2500000</v>
      </c>
      <c r="G53" s="1682">
        <f t="shared" si="0"/>
        <v>875000</v>
      </c>
      <c r="H53" s="1681">
        <v>190000</v>
      </c>
      <c r="I53" s="1682">
        <f t="shared" si="1"/>
        <v>-66500</v>
      </c>
      <c r="J53" s="1682">
        <f t="shared" si="8"/>
        <v>998500</v>
      </c>
      <c r="K53" s="1683"/>
      <c r="L53" s="1681">
        <v>2500000</v>
      </c>
      <c r="M53" s="1682">
        <f t="shared" si="2"/>
        <v>525000</v>
      </c>
      <c r="N53" s="1681">
        <v>190000</v>
      </c>
      <c r="O53" s="1682">
        <f t="shared" si="3"/>
        <v>-39900</v>
      </c>
      <c r="P53" s="1682">
        <f t="shared" si="4"/>
        <v>675100</v>
      </c>
      <c r="Q53" s="1684"/>
      <c r="R53" s="1682">
        <f t="shared" si="5"/>
        <v>323400</v>
      </c>
      <c r="S53" s="1683"/>
      <c r="T53" s="1681">
        <v>323400</v>
      </c>
      <c r="U53" s="1683"/>
      <c r="V53" s="1681">
        <v>0</v>
      </c>
      <c r="W53" s="1683"/>
      <c r="X53" s="1682">
        <f t="shared" si="6"/>
        <v>0</v>
      </c>
      <c r="Y53" s="1677"/>
      <c r="Z53" s="1678" t="s">
        <v>347</v>
      </c>
      <c r="AA53" s="1679"/>
      <c r="AB53" s="1678" t="s">
        <v>37</v>
      </c>
      <c r="AC53" s="1679"/>
      <c r="AD53" s="1680">
        <v>0</v>
      </c>
      <c r="AE53" s="1679"/>
      <c r="AF53" s="1682">
        <f t="shared" si="7"/>
        <v>0</v>
      </c>
      <c r="AG53" s="1679"/>
      <c r="AH53" s="1673">
        <v>190</v>
      </c>
      <c r="AI53" s="1673"/>
    </row>
    <row r="54" spans="2:35" ht="15">
      <c r="B54" s="1673">
        <v>43</v>
      </c>
      <c r="C54" s="1674" t="s">
        <v>1817</v>
      </c>
      <c r="D54" s="1674" t="s">
        <v>361</v>
      </c>
      <c r="E54" s="1674" t="s">
        <v>1772</v>
      </c>
      <c r="F54" s="1681">
        <v>2959146</v>
      </c>
      <c r="G54" s="1682">
        <f t="shared" si="0"/>
        <v>1035701.1</v>
      </c>
      <c r="H54" s="1681">
        <v>0</v>
      </c>
      <c r="I54" s="1682">
        <f t="shared" si="1"/>
        <v>0</v>
      </c>
      <c r="J54" s="1682">
        <f t="shared" si="8"/>
        <v>1035701.1</v>
      </c>
      <c r="K54" s="1683"/>
      <c r="L54" s="1681">
        <v>2959146</v>
      </c>
      <c r="M54" s="1682">
        <f t="shared" si="2"/>
        <v>621420.66</v>
      </c>
      <c r="N54" s="1681">
        <v>0</v>
      </c>
      <c r="O54" s="1682">
        <f t="shared" si="3"/>
        <v>0</v>
      </c>
      <c r="P54" s="1682">
        <f t="shared" si="4"/>
        <v>621420.66</v>
      </c>
      <c r="Q54" s="1684"/>
      <c r="R54" s="1682">
        <f t="shared" si="5"/>
        <v>414280.43999999994</v>
      </c>
      <c r="S54" s="1683"/>
      <c r="T54" s="1681">
        <v>0</v>
      </c>
      <c r="U54" s="1683"/>
      <c r="V54" s="1681">
        <v>0</v>
      </c>
      <c r="W54" s="1683"/>
      <c r="X54" s="1682">
        <f t="shared" si="6"/>
        <v>414280.43999999994</v>
      </c>
      <c r="Y54" s="1677"/>
      <c r="Z54" s="1678" t="s">
        <v>347</v>
      </c>
      <c r="AA54" s="1679"/>
      <c r="AB54" s="1678" t="s">
        <v>36</v>
      </c>
      <c r="AC54" s="1679"/>
      <c r="AD54" s="1680">
        <v>0.10089999999999999</v>
      </c>
      <c r="AE54" s="1679"/>
      <c r="AF54" s="1682">
        <f t="shared" si="7"/>
        <v>41800.896395999989</v>
      </c>
      <c r="AG54" s="1679"/>
      <c r="AH54" s="1673">
        <v>190</v>
      </c>
      <c r="AI54" s="1673"/>
    </row>
    <row r="55" spans="2:35" ht="15">
      <c r="B55" s="1673">
        <v>44</v>
      </c>
      <c r="C55" s="1674" t="s">
        <v>1818</v>
      </c>
      <c r="D55" s="1674" t="s">
        <v>361</v>
      </c>
      <c r="E55" s="1674" t="s">
        <v>1772</v>
      </c>
      <c r="F55" s="1681">
        <v>0</v>
      </c>
      <c r="G55" s="1682">
        <f t="shared" si="0"/>
        <v>0</v>
      </c>
      <c r="H55" s="1681">
        <v>3630153.2849999997</v>
      </c>
      <c r="I55" s="1682">
        <f t="shared" si="1"/>
        <v>-1270553.6497499999</v>
      </c>
      <c r="J55" s="1682">
        <f t="shared" si="8"/>
        <v>2359599.6352499998</v>
      </c>
      <c r="K55" s="1683"/>
      <c r="L55" s="1681">
        <v>0</v>
      </c>
      <c r="M55" s="1682">
        <f t="shared" si="2"/>
        <v>0</v>
      </c>
      <c r="N55" s="1681">
        <v>3630153.2849999997</v>
      </c>
      <c r="O55" s="1682">
        <f t="shared" si="3"/>
        <v>-762332.18984999985</v>
      </c>
      <c r="P55" s="1682">
        <f t="shared" si="4"/>
        <v>2867821.09515</v>
      </c>
      <c r="Q55" s="1684"/>
      <c r="R55" s="1682">
        <f t="shared" si="5"/>
        <v>-508221.45990000013</v>
      </c>
      <c r="S55" s="1683"/>
      <c r="T55" s="1681">
        <v>0</v>
      </c>
      <c r="U55" s="1683"/>
      <c r="V55" s="1681">
        <v>0</v>
      </c>
      <c r="W55" s="1683"/>
      <c r="X55" s="1682">
        <f t="shared" si="6"/>
        <v>-508221.45990000013</v>
      </c>
      <c r="Y55" s="1677"/>
      <c r="Z55" s="1678" t="s">
        <v>1819</v>
      </c>
      <c r="AA55" s="1679"/>
      <c r="AB55" s="1678" t="s">
        <v>36</v>
      </c>
      <c r="AC55" s="1679"/>
      <c r="AD55" s="1680">
        <v>0.17320000000000002</v>
      </c>
      <c r="AE55" s="1679"/>
      <c r="AF55" s="1682">
        <f t="shared" si="7"/>
        <v>-88023.956854680029</v>
      </c>
      <c r="AG55" s="1679"/>
      <c r="AH55" s="1673">
        <v>190</v>
      </c>
      <c r="AI55" s="1673"/>
    </row>
    <row r="56" spans="2:35" ht="15">
      <c r="B56" s="1673">
        <v>45</v>
      </c>
      <c r="C56" s="1674" t="s">
        <v>1820</v>
      </c>
      <c r="D56" s="1674" t="s">
        <v>359</v>
      </c>
      <c r="E56" s="1674" t="s">
        <v>1772</v>
      </c>
      <c r="F56" s="1681">
        <v>3485134.96</v>
      </c>
      <c r="G56" s="1682">
        <f t="shared" si="0"/>
        <v>1219797.2359999998</v>
      </c>
      <c r="H56" s="1681">
        <v>264870.25695999997</v>
      </c>
      <c r="I56" s="1682">
        <f t="shared" si="1"/>
        <v>-92704.589935999989</v>
      </c>
      <c r="J56" s="1682">
        <f t="shared" si="8"/>
        <v>1391962.9030239997</v>
      </c>
      <c r="K56" s="1683"/>
      <c r="L56" s="1681">
        <v>3485134.96</v>
      </c>
      <c r="M56" s="1682">
        <f t="shared" si="2"/>
        <v>731878.34159999993</v>
      </c>
      <c r="N56" s="1681">
        <v>264870.25695999997</v>
      </c>
      <c r="O56" s="1682">
        <f t="shared" si="3"/>
        <v>-55622.753961599992</v>
      </c>
      <c r="P56" s="1682">
        <f t="shared" si="4"/>
        <v>941125.84459839982</v>
      </c>
      <c r="Q56" s="1684"/>
      <c r="R56" s="1682">
        <f t="shared" si="5"/>
        <v>450837.05842559983</v>
      </c>
      <c r="S56" s="1683"/>
      <c r="T56" s="1681">
        <v>0</v>
      </c>
      <c r="U56" s="1683"/>
      <c r="V56" s="1681">
        <v>0</v>
      </c>
      <c r="W56" s="1683"/>
      <c r="X56" s="1682">
        <f t="shared" si="6"/>
        <v>450837.05842559983</v>
      </c>
      <c r="Y56" s="1677"/>
      <c r="Z56" s="1678" t="s">
        <v>347</v>
      </c>
      <c r="AA56" s="1679"/>
      <c r="AB56" s="1678" t="s">
        <v>37</v>
      </c>
      <c r="AC56" s="1679"/>
      <c r="AD56" s="1680">
        <v>0</v>
      </c>
      <c r="AE56" s="1679"/>
      <c r="AF56" s="1682">
        <f t="shared" si="7"/>
        <v>0</v>
      </c>
      <c r="AG56" s="1679"/>
      <c r="AH56" s="1673">
        <v>190</v>
      </c>
      <c r="AI56" s="1673"/>
    </row>
    <row r="57" spans="2:35" ht="15">
      <c r="B57" s="1673">
        <v>46</v>
      </c>
      <c r="C57" s="1674" t="s">
        <v>1821</v>
      </c>
      <c r="D57" s="1674" t="s">
        <v>359</v>
      </c>
      <c r="E57" s="1674" t="s">
        <v>1772</v>
      </c>
      <c r="F57" s="1681">
        <v>-3357068.69</v>
      </c>
      <c r="G57" s="1682">
        <f t="shared" si="0"/>
        <v>-1174974.0414999998</v>
      </c>
      <c r="H57" s="1681">
        <v>-255137.22043999998</v>
      </c>
      <c r="I57" s="1682">
        <f t="shared" si="1"/>
        <v>89298.027153999981</v>
      </c>
      <c r="J57" s="1682">
        <f t="shared" si="8"/>
        <v>-1340813.2347859999</v>
      </c>
      <c r="K57" s="1683"/>
      <c r="L57" s="1681">
        <v>-3357068.69</v>
      </c>
      <c r="M57" s="1682">
        <f t="shared" si="2"/>
        <v>-704984.42489999998</v>
      </c>
      <c r="N57" s="1681">
        <v>-255137.22043999998</v>
      </c>
      <c r="O57" s="1682">
        <f t="shared" si="3"/>
        <v>53578.816292399992</v>
      </c>
      <c r="P57" s="1682">
        <f t="shared" si="4"/>
        <v>-906542.82904759992</v>
      </c>
      <c r="Q57" s="1684"/>
      <c r="R57" s="1682">
        <f t="shared" si="5"/>
        <v>-434270.40573839995</v>
      </c>
      <c r="S57" s="1683"/>
      <c r="T57" s="1681">
        <v>0</v>
      </c>
      <c r="U57" s="1683"/>
      <c r="V57" s="1681">
        <v>0</v>
      </c>
      <c r="W57" s="1683"/>
      <c r="X57" s="1682">
        <f t="shared" si="6"/>
        <v>-434270.40573839995</v>
      </c>
      <c r="Y57" s="1677"/>
      <c r="Z57" s="1678" t="s">
        <v>347</v>
      </c>
      <c r="AA57" s="1679"/>
      <c r="AB57" s="1678" t="s">
        <v>37</v>
      </c>
      <c r="AC57" s="1679"/>
      <c r="AD57" s="1680">
        <v>0</v>
      </c>
      <c r="AE57" s="1679"/>
      <c r="AF57" s="1682">
        <f t="shared" si="7"/>
        <v>0</v>
      </c>
      <c r="AG57" s="1679"/>
      <c r="AH57" s="1673">
        <v>190</v>
      </c>
      <c r="AI57" s="1673"/>
    </row>
    <row r="58" spans="2:35" ht="15">
      <c r="B58" s="1673">
        <v>47</v>
      </c>
      <c r="C58" s="1674" t="s">
        <v>1822</v>
      </c>
      <c r="D58" s="1674" t="s">
        <v>359</v>
      </c>
      <c r="E58" s="1674" t="s">
        <v>1772</v>
      </c>
      <c r="F58" s="1681">
        <v>3485134.96</v>
      </c>
      <c r="G58" s="1682">
        <f t="shared" si="0"/>
        <v>1219797.2359999998</v>
      </c>
      <c r="H58" s="1681">
        <v>264870.25695999997</v>
      </c>
      <c r="I58" s="1682">
        <f t="shared" si="1"/>
        <v>-92704.589935999989</v>
      </c>
      <c r="J58" s="1682">
        <f t="shared" si="8"/>
        <v>1391962.9030239997</v>
      </c>
      <c r="K58" s="1683"/>
      <c r="L58" s="1681">
        <v>3485134.96</v>
      </c>
      <c r="M58" s="1682">
        <f t="shared" si="2"/>
        <v>731878.34159999993</v>
      </c>
      <c r="N58" s="1681">
        <v>264870.25695999997</v>
      </c>
      <c r="O58" s="1682">
        <f t="shared" si="3"/>
        <v>-55622.753961599992</v>
      </c>
      <c r="P58" s="1682">
        <f t="shared" si="4"/>
        <v>941125.84459839982</v>
      </c>
      <c r="Q58" s="1684"/>
      <c r="R58" s="1682">
        <f t="shared" si="5"/>
        <v>450837.05842559983</v>
      </c>
      <c r="S58" s="1683"/>
      <c r="T58" s="1681">
        <v>0</v>
      </c>
      <c r="U58" s="1683"/>
      <c r="V58" s="1681">
        <v>0</v>
      </c>
      <c r="W58" s="1683"/>
      <c r="X58" s="1682">
        <f t="shared" si="6"/>
        <v>450837.05842559983</v>
      </c>
      <c r="Y58" s="1677"/>
      <c r="Z58" s="1678" t="s">
        <v>347</v>
      </c>
      <c r="AA58" s="1679"/>
      <c r="AB58" s="1678" t="s">
        <v>37</v>
      </c>
      <c r="AC58" s="1679"/>
      <c r="AD58" s="1680">
        <v>0</v>
      </c>
      <c r="AE58" s="1679"/>
      <c r="AF58" s="1682">
        <f t="shared" si="7"/>
        <v>0</v>
      </c>
      <c r="AG58" s="1679"/>
      <c r="AH58" s="1673">
        <v>190</v>
      </c>
      <c r="AI58" s="1673"/>
    </row>
    <row r="59" spans="2:35" ht="15">
      <c r="B59" s="1673">
        <v>48</v>
      </c>
      <c r="C59" s="1674" t="s">
        <v>1823</v>
      </c>
      <c r="D59" s="1674" t="s">
        <v>359</v>
      </c>
      <c r="E59" s="1674" t="s">
        <v>1772</v>
      </c>
      <c r="F59" s="1681">
        <v>-3485134.96</v>
      </c>
      <c r="G59" s="1682">
        <f t="shared" si="0"/>
        <v>-1219797.2359999998</v>
      </c>
      <c r="H59" s="1681">
        <v>-264870.25695999997</v>
      </c>
      <c r="I59" s="1682">
        <f t="shared" si="1"/>
        <v>92704.589935999989</v>
      </c>
      <c r="J59" s="1682">
        <f t="shared" si="8"/>
        <v>-1391962.9030239997</v>
      </c>
      <c r="K59" s="1683"/>
      <c r="L59" s="1681">
        <v>-3485134.96</v>
      </c>
      <c r="M59" s="1682">
        <f t="shared" si="2"/>
        <v>-731878.34159999993</v>
      </c>
      <c r="N59" s="1681">
        <v>-264870.25695999997</v>
      </c>
      <c r="O59" s="1682">
        <f t="shared" si="3"/>
        <v>55622.753961599992</v>
      </c>
      <c r="P59" s="1682">
        <f t="shared" si="4"/>
        <v>-941125.84459839982</v>
      </c>
      <c r="Q59" s="1684"/>
      <c r="R59" s="1682">
        <f t="shared" si="5"/>
        <v>-450837.05842559983</v>
      </c>
      <c r="S59" s="1683"/>
      <c r="T59" s="1681">
        <v>0</v>
      </c>
      <c r="U59" s="1683"/>
      <c r="V59" s="1681">
        <v>0</v>
      </c>
      <c r="W59" s="1683"/>
      <c r="X59" s="1682">
        <f t="shared" si="6"/>
        <v>-450837.05842559983</v>
      </c>
      <c r="Y59" s="1677"/>
      <c r="Z59" s="1678" t="s">
        <v>347</v>
      </c>
      <c r="AA59" s="1679"/>
      <c r="AB59" s="1678" t="s">
        <v>37</v>
      </c>
      <c r="AC59" s="1679"/>
      <c r="AD59" s="1680">
        <v>0</v>
      </c>
      <c r="AE59" s="1679"/>
      <c r="AF59" s="1682">
        <f t="shared" si="7"/>
        <v>0</v>
      </c>
      <c r="AG59" s="1679"/>
      <c r="AH59" s="1673">
        <v>190</v>
      </c>
      <c r="AI59" s="1673"/>
    </row>
    <row r="60" spans="2:35" ht="15">
      <c r="B60" s="1673">
        <v>49</v>
      </c>
      <c r="C60" s="1674" t="s">
        <v>1824</v>
      </c>
      <c r="D60" s="1674" t="s">
        <v>359</v>
      </c>
      <c r="E60" s="1674" t="s">
        <v>1772</v>
      </c>
      <c r="F60" s="1681">
        <v>975399.09</v>
      </c>
      <c r="G60" s="1682">
        <f t="shared" si="0"/>
        <v>341389.68149999995</v>
      </c>
      <c r="H60" s="1681">
        <v>74130.330839999995</v>
      </c>
      <c r="I60" s="1682">
        <f t="shared" si="1"/>
        <v>-25945.615793999998</v>
      </c>
      <c r="J60" s="1682">
        <f t="shared" si="8"/>
        <v>389574.39654599997</v>
      </c>
      <c r="K60" s="1683"/>
      <c r="L60" s="1681">
        <v>975399.09</v>
      </c>
      <c r="M60" s="1682">
        <f t="shared" si="2"/>
        <v>204833.80889999997</v>
      </c>
      <c r="N60" s="1681">
        <v>74130.330839999995</v>
      </c>
      <c r="O60" s="1682">
        <f t="shared" si="3"/>
        <v>-15567.369476399999</v>
      </c>
      <c r="P60" s="1682">
        <f t="shared" si="4"/>
        <v>263396.77026359993</v>
      </c>
      <c r="Q60" s="1684"/>
      <c r="R60" s="1682">
        <f t="shared" si="5"/>
        <v>126177.62628240004</v>
      </c>
      <c r="S60" s="1683"/>
      <c r="T60" s="1681">
        <v>0</v>
      </c>
      <c r="U60" s="1683"/>
      <c r="V60" s="1681">
        <v>0</v>
      </c>
      <c r="W60" s="1683"/>
      <c r="X60" s="1682">
        <f t="shared" si="6"/>
        <v>126177.62628240004</v>
      </c>
      <c r="Y60" s="1677"/>
      <c r="Z60" s="1678" t="s">
        <v>1794</v>
      </c>
      <c r="AA60" s="1679"/>
      <c r="AB60" s="1678" t="s">
        <v>37</v>
      </c>
      <c r="AC60" s="1679"/>
      <c r="AD60" s="1680">
        <v>0</v>
      </c>
      <c r="AE60" s="1679"/>
      <c r="AF60" s="1682">
        <f t="shared" si="7"/>
        <v>0</v>
      </c>
      <c r="AG60" s="1679"/>
      <c r="AH60" s="1673">
        <v>190</v>
      </c>
      <c r="AI60" s="1673"/>
    </row>
    <row r="61" spans="2:35" ht="15">
      <c r="B61" s="1673">
        <v>50</v>
      </c>
      <c r="C61" s="1674" t="s">
        <v>1825</v>
      </c>
      <c r="D61" s="1674" t="s">
        <v>359</v>
      </c>
      <c r="E61" s="1674" t="s">
        <v>1772</v>
      </c>
      <c r="F61" s="1681">
        <v>2536480.35</v>
      </c>
      <c r="G61" s="1682">
        <f t="shared" si="0"/>
        <v>887768.12249999994</v>
      </c>
      <c r="H61" s="1681">
        <v>192772.50659999999</v>
      </c>
      <c r="I61" s="1682">
        <f t="shared" si="1"/>
        <v>-67470.377309999996</v>
      </c>
      <c r="J61" s="1682">
        <f t="shared" si="8"/>
        <v>1013070.25179</v>
      </c>
      <c r="K61" s="1683"/>
      <c r="L61" s="1681">
        <v>2536480.35</v>
      </c>
      <c r="M61" s="1682">
        <f t="shared" si="2"/>
        <v>532660.87349999999</v>
      </c>
      <c r="N61" s="1681">
        <v>192772.50659999999</v>
      </c>
      <c r="O61" s="1682">
        <f t="shared" si="3"/>
        <v>-40482.226385999995</v>
      </c>
      <c r="P61" s="1682">
        <f t="shared" si="4"/>
        <v>684951.15371400001</v>
      </c>
      <c r="Q61" s="1684"/>
      <c r="R61" s="1682">
        <f t="shared" si="5"/>
        <v>328119.09807599999</v>
      </c>
      <c r="S61" s="1683"/>
      <c r="T61" s="1681">
        <v>0</v>
      </c>
      <c r="U61" s="1683"/>
      <c r="V61" s="1681">
        <v>0</v>
      </c>
      <c r="W61" s="1683"/>
      <c r="X61" s="1682">
        <f t="shared" si="6"/>
        <v>328119.09807599999</v>
      </c>
      <c r="Y61" s="1677"/>
      <c r="Z61" s="1678" t="s">
        <v>1794</v>
      </c>
      <c r="AA61" s="1679"/>
      <c r="AB61" s="1678" t="s">
        <v>37</v>
      </c>
      <c r="AC61" s="1679"/>
      <c r="AD61" s="1680">
        <v>0</v>
      </c>
      <c r="AE61" s="1679"/>
      <c r="AF61" s="1682">
        <f t="shared" si="7"/>
        <v>0</v>
      </c>
      <c r="AG61" s="1679"/>
      <c r="AH61" s="1673">
        <v>190</v>
      </c>
      <c r="AI61" s="1673"/>
    </row>
    <row r="62" spans="2:35" ht="15">
      <c r="B62" s="1673">
        <v>51</v>
      </c>
      <c r="C62" s="1674" t="s">
        <v>1826</v>
      </c>
      <c r="D62" s="1674" t="s">
        <v>359</v>
      </c>
      <c r="E62" s="1674" t="s">
        <v>1772</v>
      </c>
      <c r="F62" s="1681">
        <v>692632.74</v>
      </c>
      <c r="G62" s="1682">
        <f t="shared" si="0"/>
        <v>242421.45899999997</v>
      </c>
      <c r="H62" s="1681">
        <v>52640.088239999997</v>
      </c>
      <c r="I62" s="1682">
        <f t="shared" si="1"/>
        <v>-18424.030883999996</v>
      </c>
      <c r="J62" s="1682">
        <f t="shared" si="8"/>
        <v>276637.51635599998</v>
      </c>
      <c r="K62" s="1683"/>
      <c r="L62" s="1681">
        <v>692632.74</v>
      </c>
      <c r="M62" s="1682">
        <f t="shared" si="2"/>
        <v>145452.87539999999</v>
      </c>
      <c r="N62" s="1681">
        <v>52640.088239999997</v>
      </c>
      <c r="O62" s="1682">
        <f t="shared" si="3"/>
        <v>-11054.418530399998</v>
      </c>
      <c r="P62" s="1682">
        <f t="shared" si="4"/>
        <v>187038.54510959997</v>
      </c>
      <c r="Q62" s="1684"/>
      <c r="R62" s="1682">
        <f t="shared" si="5"/>
        <v>89598.971246400004</v>
      </c>
      <c r="S62" s="1683"/>
      <c r="T62" s="1681">
        <v>0</v>
      </c>
      <c r="U62" s="1683"/>
      <c r="V62" s="1681">
        <v>0</v>
      </c>
      <c r="W62" s="1683"/>
      <c r="X62" s="1682">
        <f t="shared" si="6"/>
        <v>89598.971246400004</v>
      </c>
      <c r="Y62" s="1677"/>
      <c r="Z62" s="1678" t="s">
        <v>1794</v>
      </c>
      <c r="AA62" s="1679"/>
      <c r="AB62" s="1678" t="s">
        <v>37</v>
      </c>
      <c r="AC62" s="1679"/>
      <c r="AD62" s="1680">
        <v>0</v>
      </c>
      <c r="AE62" s="1679"/>
      <c r="AF62" s="1682">
        <f t="shared" si="7"/>
        <v>0</v>
      </c>
      <c r="AG62" s="1679"/>
      <c r="AH62" s="1673">
        <v>190</v>
      </c>
      <c r="AI62" s="1673"/>
    </row>
    <row r="63" spans="2:35" ht="15">
      <c r="B63" s="1673">
        <v>52</v>
      </c>
      <c r="C63" s="1674" t="s">
        <v>1827</v>
      </c>
      <c r="D63" s="1674" t="s">
        <v>359</v>
      </c>
      <c r="E63" s="1674" t="s">
        <v>1772</v>
      </c>
      <c r="F63" s="1681">
        <v>1375837.52</v>
      </c>
      <c r="G63" s="1682">
        <f t="shared" si="0"/>
        <v>481543.13199999998</v>
      </c>
      <c r="H63" s="1681">
        <v>104563.65152</v>
      </c>
      <c r="I63" s="1682">
        <f t="shared" si="1"/>
        <v>-36597.278031999995</v>
      </c>
      <c r="J63" s="1682">
        <f t="shared" si="8"/>
        <v>549509.505488</v>
      </c>
      <c r="K63" s="1683"/>
      <c r="L63" s="1681">
        <v>1375837.52</v>
      </c>
      <c r="M63" s="1682">
        <f t="shared" si="2"/>
        <v>288925.87919999997</v>
      </c>
      <c r="N63" s="1681">
        <v>104563.65152</v>
      </c>
      <c r="O63" s="1682">
        <f t="shared" si="3"/>
        <v>-21958.3668192</v>
      </c>
      <c r="P63" s="1682">
        <f t="shared" si="4"/>
        <v>371531.16390079999</v>
      </c>
      <c r="Q63" s="1684"/>
      <c r="R63" s="1682">
        <f t="shared" si="5"/>
        <v>177978.3415872</v>
      </c>
      <c r="S63" s="1683"/>
      <c r="T63" s="1681">
        <v>0</v>
      </c>
      <c r="U63" s="1683"/>
      <c r="V63" s="1681">
        <v>0</v>
      </c>
      <c r="W63" s="1683"/>
      <c r="X63" s="1682">
        <f t="shared" si="6"/>
        <v>177978.3415872</v>
      </c>
      <c r="Y63" s="1677"/>
      <c r="Z63" s="1678" t="s">
        <v>1774</v>
      </c>
      <c r="AA63" s="1679"/>
      <c r="AB63" s="1678" t="s">
        <v>37</v>
      </c>
      <c r="AC63" s="1679"/>
      <c r="AD63" s="1680">
        <v>0</v>
      </c>
      <c r="AE63" s="1679"/>
      <c r="AF63" s="1682">
        <f t="shared" si="7"/>
        <v>0</v>
      </c>
      <c r="AG63" s="1679"/>
      <c r="AH63" s="1673">
        <v>190</v>
      </c>
      <c r="AI63" s="1673"/>
    </row>
    <row r="64" spans="2:35" ht="15">
      <c r="B64" s="1673">
        <v>53</v>
      </c>
      <c r="C64" s="1674" t="s">
        <v>1828</v>
      </c>
      <c r="D64" s="1674" t="s">
        <v>1829</v>
      </c>
      <c r="E64" s="1674" t="s">
        <v>1772</v>
      </c>
      <c r="F64" s="1681">
        <v>0</v>
      </c>
      <c r="G64" s="1682">
        <f t="shared" si="0"/>
        <v>0</v>
      </c>
      <c r="H64" s="1681">
        <v>5307669.8333999999</v>
      </c>
      <c r="I64" s="1682">
        <f t="shared" si="1"/>
        <v>-1857684.4416899998</v>
      </c>
      <c r="J64" s="1682">
        <f t="shared" si="8"/>
        <v>3449985.3917100001</v>
      </c>
      <c r="K64" s="1683"/>
      <c r="L64" s="1681">
        <v>0</v>
      </c>
      <c r="M64" s="1682">
        <f t="shared" si="2"/>
        <v>0</v>
      </c>
      <c r="N64" s="1681">
        <v>5307669.8333999999</v>
      </c>
      <c r="O64" s="1682">
        <f t="shared" si="3"/>
        <v>-1114610.6650139999</v>
      </c>
      <c r="P64" s="1682">
        <f t="shared" si="4"/>
        <v>4193059.1683860002</v>
      </c>
      <c r="Q64" s="1684"/>
      <c r="R64" s="1682">
        <f t="shared" si="5"/>
        <v>-743073.7766760001</v>
      </c>
      <c r="S64" s="1683"/>
      <c r="T64" s="1681">
        <v>0</v>
      </c>
      <c r="U64" s="1683"/>
      <c r="V64" s="1681">
        <v>0</v>
      </c>
      <c r="W64" s="1683"/>
      <c r="X64" s="1682">
        <f t="shared" si="6"/>
        <v>-743073.7766760001</v>
      </c>
      <c r="Y64" s="1677"/>
      <c r="Z64" s="1678" t="s">
        <v>1819</v>
      </c>
      <c r="AA64" s="1679"/>
      <c r="AB64" s="1678" t="s">
        <v>36</v>
      </c>
      <c r="AC64" s="1679"/>
      <c r="AD64" s="1680">
        <v>0.17320000000000002</v>
      </c>
      <c r="AE64" s="1679"/>
      <c r="AF64" s="1682">
        <f t="shared" si="7"/>
        <v>-128700.37812028323</v>
      </c>
      <c r="AG64" s="1679"/>
      <c r="AH64" s="1673">
        <v>190</v>
      </c>
      <c r="AI64" s="1673"/>
    </row>
    <row r="65" spans="2:35" ht="15">
      <c r="B65" s="1673">
        <v>54</v>
      </c>
      <c r="C65" s="1674" t="s">
        <v>1830</v>
      </c>
      <c r="D65" s="1674" t="s">
        <v>1829</v>
      </c>
      <c r="E65" s="1674" t="s">
        <v>1772</v>
      </c>
      <c r="F65" s="1681">
        <v>0</v>
      </c>
      <c r="G65" s="1682">
        <f t="shared" si="0"/>
        <v>0</v>
      </c>
      <c r="H65" s="1681">
        <v>9626335.2781020999</v>
      </c>
      <c r="I65" s="1682">
        <f t="shared" si="1"/>
        <v>-3369217.3473357349</v>
      </c>
      <c r="J65" s="1682">
        <f t="shared" si="8"/>
        <v>6257117.9307663646</v>
      </c>
      <c r="K65" s="1683"/>
      <c r="L65" s="1681">
        <v>0</v>
      </c>
      <c r="M65" s="1682">
        <f t="shared" si="2"/>
        <v>0</v>
      </c>
      <c r="N65" s="1681">
        <v>9626335.2781020999</v>
      </c>
      <c r="O65" s="1682">
        <f t="shared" si="3"/>
        <v>-2021530.4084014408</v>
      </c>
      <c r="P65" s="1682">
        <f t="shared" si="4"/>
        <v>7604804.8697006591</v>
      </c>
      <c r="Q65" s="1684"/>
      <c r="R65" s="1682">
        <f t="shared" si="5"/>
        <v>-1347686.9389342945</v>
      </c>
      <c r="S65" s="1683"/>
      <c r="T65" s="1681">
        <v>0</v>
      </c>
      <c r="U65" s="1683"/>
      <c r="V65" s="1681">
        <v>0</v>
      </c>
      <c r="W65" s="1683"/>
      <c r="X65" s="1682">
        <f t="shared" si="6"/>
        <v>-1347686.9389342945</v>
      </c>
      <c r="Y65" s="1677"/>
      <c r="Z65" s="1678" t="s">
        <v>1819</v>
      </c>
      <c r="AA65" s="1679"/>
      <c r="AB65" s="1678" t="s">
        <v>36</v>
      </c>
      <c r="AC65" s="1679"/>
      <c r="AD65" s="1680">
        <v>0.17320000000000002</v>
      </c>
      <c r="AE65" s="1679"/>
      <c r="AF65" s="1682">
        <f t="shared" si="7"/>
        <v>-233419.37782341984</v>
      </c>
      <c r="AG65" s="1679"/>
      <c r="AH65" s="1673">
        <v>190</v>
      </c>
      <c r="AI65" s="1673"/>
    </row>
    <row r="66" spans="2:35" ht="15">
      <c r="B66" s="1673">
        <v>55</v>
      </c>
      <c r="C66" s="1674" t="s">
        <v>1831</v>
      </c>
      <c r="D66" s="1674" t="s">
        <v>1832</v>
      </c>
      <c r="E66" s="1674" t="s">
        <v>1696</v>
      </c>
      <c r="F66" s="1681">
        <v>39488432.923260882</v>
      </c>
      <c r="G66" s="1682">
        <f t="shared" si="0"/>
        <v>13820951.523141308</v>
      </c>
      <c r="H66" s="1681">
        <v>0</v>
      </c>
      <c r="I66" s="1682">
        <f t="shared" si="1"/>
        <v>0</v>
      </c>
      <c r="J66" s="1682">
        <f t="shared" si="8"/>
        <v>13820951.523141308</v>
      </c>
      <c r="K66" s="1683"/>
      <c r="L66" s="1681">
        <v>39488432.923260882</v>
      </c>
      <c r="M66" s="1682">
        <f t="shared" si="2"/>
        <v>8292570.913884785</v>
      </c>
      <c r="N66" s="1681">
        <v>0</v>
      </c>
      <c r="O66" s="1682">
        <f t="shared" si="3"/>
        <v>0</v>
      </c>
      <c r="P66" s="1682">
        <f t="shared" si="4"/>
        <v>8292570.913884785</v>
      </c>
      <c r="Q66" s="1684"/>
      <c r="R66" s="1682">
        <f t="shared" si="5"/>
        <v>5528380.6092565227</v>
      </c>
      <c r="S66" s="1683"/>
      <c r="T66" s="1681">
        <v>0</v>
      </c>
      <c r="U66" s="1683"/>
      <c r="V66" s="1681">
        <v>0</v>
      </c>
      <c r="W66" s="1683"/>
      <c r="X66" s="1682">
        <f t="shared" si="6"/>
        <v>5528380.6092565227</v>
      </c>
      <c r="Y66" s="1677"/>
      <c r="Z66" s="1678" t="s">
        <v>1819</v>
      </c>
      <c r="AA66" s="1679"/>
      <c r="AB66" s="1678" t="s">
        <v>36</v>
      </c>
      <c r="AC66" s="1679"/>
      <c r="AD66" s="1680">
        <v>0.17320000000000002</v>
      </c>
      <c r="AE66" s="1679"/>
      <c r="AF66" s="1682">
        <f t="shared" si="7"/>
        <v>957515.52152322989</v>
      </c>
      <c r="AG66" s="1679"/>
      <c r="AH66" s="1673">
        <v>190</v>
      </c>
      <c r="AI66" s="1673"/>
    </row>
    <row r="67" spans="2:35" ht="15">
      <c r="B67" s="1673">
        <v>56</v>
      </c>
      <c r="C67" s="1674" t="s">
        <v>1833</v>
      </c>
      <c r="D67" s="1674" t="s">
        <v>360</v>
      </c>
      <c r="E67" s="1674" t="s">
        <v>1696</v>
      </c>
      <c r="F67" s="1681">
        <v>1934714</v>
      </c>
      <c r="G67" s="1682">
        <f t="shared" si="0"/>
        <v>677149.89999999991</v>
      </c>
      <c r="H67" s="1681">
        <v>147038.264</v>
      </c>
      <c r="I67" s="1682">
        <f t="shared" si="1"/>
        <v>-51463.392399999997</v>
      </c>
      <c r="J67" s="1682">
        <f t="shared" si="8"/>
        <v>772724.77159999986</v>
      </c>
      <c r="K67" s="1683"/>
      <c r="L67" s="1681">
        <v>1934714</v>
      </c>
      <c r="M67" s="1682">
        <f t="shared" si="2"/>
        <v>406289.94</v>
      </c>
      <c r="N67" s="1681">
        <v>147038.264</v>
      </c>
      <c r="O67" s="1682">
        <f t="shared" si="3"/>
        <v>-30878.03544</v>
      </c>
      <c r="P67" s="1682">
        <f t="shared" si="4"/>
        <v>522450.16856000002</v>
      </c>
      <c r="Q67" s="1684"/>
      <c r="R67" s="1682">
        <f t="shared" si="5"/>
        <v>250274.60303999984</v>
      </c>
      <c r="S67" s="1683"/>
      <c r="T67" s="1681">
        <v>0</v>
      </c>
      <c r="U67" s="1683"/>
      <c r="V67" s="1681">
        <v>0</v>
      </c>
      <c r="W67" s="1683"/>
      <c r="X67" s="1682">
        <f t="shared" si="6"/>
        <v>250274.60303999984</v>
      </c>
      <c r="Y67" s="1677"/>
      <c r="Z67" s="1678" t="s">
        <v>1819</v>
      </c>
      <c r="AA67" s="1679"/>
      <c r="AB67" s="1678" t="s">
        <v>36</v>
      </c>
      <c r="AC67" s="1679"/>
      <c r="AD67" s="1680">
        <v>0.17320000000000002</v>
      </c>
      <c r="AE67" s="1679"/>
      <c r="AF67" s="1682">
        <f t="shared" si="7"/>
        <v>43347.561246527977</v>
      </c>
      <c r="AG67" s="1679"/>
      <c r="AH67" s="1673">
        <v>190</v>
      </c>
      <c r="AI67" s="1673"/>
    </row>
    <row r="68" spans="2:35" ht="15">
      <c r="B68" s="1673">
        <v>57</v>
      </c>
      <c r="C68" s="1674" t="s">
        <v>1834</v>
      </c>
      <c r="D68" s="1674" t="s">
        <v>1835</v>
      </c>
      <c r="E68" s="1674" t="s">
        <v>1836</v>
      </c>
      <c r="F68" s="1681">
        <v>-18162734</v>
      </c>
      <c r="G68" s="1682">
        <f t="shared" si="0"/>
        <v>-6356956.8999999994</v>
      </c>
      <c r="H68" s="1681">
        <v>-1380367.784</v>
      </c>
      <c r="I68" s="1682">
        <f t="shared" si="1"/>
        <v>483128.72439999995</v>
      </c>
      <c r="J68" s="1682">
        <f t="shared" si="8"/>
        <v>-7254195.9595999997</v>
      </c>
      <c r="K68" s="1683"/>
      <c r="L68" s="1681">
        <v>-18162734</v>
      </c>
      <c r="M68" s="1682">
        <f t="shared" si="2"/>
        <v>-3814174.1399999997</v>
      </c>
      <c r="N68" s="1681">
        <v>-1380367.784</v>
      </c>
      <c r="O68" s="1682">
        <f t="shared" si="3"/>
        <v>289877.23463999998</v>
      </c>
      <c r="P68" s="1682">
        <f t="shared" si="4"/>
        <v>-4904664.6893599993</v>
      </c>
      <c r="Q68" s="1684"/>
      <c r="R68" s="1682">
        <f t="shared" si="5"/>
        <v>-2349531.2702400004</v>
      </c>
      <c r="S68" s="1683"/>
      <c r="T68" s="1681">
        <v>0</v>
      </c>
      <c r="U68" s="1683"/>
      <c r="V68" s="1681">
        <v>-2349531.2702399995</v>
      </c>
      <c r="W68" s="1683"/>
      <c r="X68" s="1682">
        <f t="shared" si="6"/>
        <v>0</v>
      </c>
      <c r="Y68" s="1677"/>
      <c r="Z68" s="1678" t="s">
        <v>1836</v>
      </c>
      <c r="AA68" s="1679"/>
      <c r="AB68" s="1678" t="s">
        <v>37</v>
      </c>
      <c r="AC68" s="1679"/>
      <c r="AD68" s="1680">
        <v>0</v>
      </c>
      <c r="AE68" s="1679"/>
      <c r="AF68" s="1682">
        <f t="shared" si="7"/>
        <v>0</v>
      </c>
      <c r="AG68" s="1679"/>
      <c r="AH68" s="1673">
        <v>190</v>
      </c>
      <c r="AI68" s="1673"/>
    </row>
    <row r="69" spans="2:35" ht="15">
      <c r="B69" s="1673">
        <v>58</v>
      </c>
      <c r="C69" s="1674" t="s">
        <v>1837</v>
      </c>
      <c r="D69" s="1674" t="s">
        <v>1835</v>
      </c>
      <c r="E69" s="1674" t="s">
        <v>1836</v>
      </c>
      <c r="F69" s="1681">
        <v>-156526747.84999999</v>
      </c>
      <c r="G69" s="1682">
        <f t="shared" si="0"/>
        <v>-54784361.747499995</v>
      </c>
      <c r="H69" s="1681">
        <v>-11896032.8366</v>
      </c>
      <c r="I69" s="1682">
        <f t="shared" si="1"/>
        <v>4163611.4928099997</v>
      </c>
      <c r="J69" s="1682">
        <f t="shared" si="8"/>
        <v>-62516783.091289997</v>
      </c>
      <c r="K69" s="1683"/>
      <c r="L69" s="1681">
        <v>-156526747.84999999</v>
      </c>
      <c r="M69" s="1682">
        <f t="shared" si="2"/>
        <v>-32870617.048499998</v>
      </c>
      <c r="N69" s="1681">
        <v>-11896032.8366</v>
      </c>
      <c r="O69" s="1682">
        <f t="shared" si="3"/>
        <v>2498166.8956860001</v>
      </c>
      <c r="P69" s="1682">
        <f t="shared" si="4"/>
        <v>-42268482.989413999</v>
      </c>
      <c r="Q69" s="1684"/>
      <c r="R69" s="1682">
        <f t="shared" si="5"/>
        <v>-20248300.101875998</v>
      </c>
      <c r="S69" s="1683"/>
      <c r="T69" s="1681">
        <v>0</v>
      </c>
      <c r="U69" s="1683"/>
      <c r="V69" s="1681">
        <v>-20248300.101875991</v>
      </c>
      <c r="W69" s="1683"/>
      <c r="X69" s="1682">
        <f t="shared" si="6"/>
        <v>0</v>
      </c>
      <c r="Y69" s="1677"/>
      <c r="Z69" s="1678" t="s">
        <v>1836</v>
      </c>
      <c r="AA69" s="1679"/>
      <c r="AB69" s="1678" t="s">
        <v>37</v>
      </c>
      <c r="AC69" s="1679"/>
      <c r="AD69" s="1680">
        <v>0</v>
      </c>
      <c r="AE69" s="1679"/>
      <c r="AF69" s="1682">
        <f t="shared" si="7"/>
        <v>0</v>
      </c>
      <c r="AG69" s="1679"/>
      <c r="AH69" s="1673">
        <v>190</v>
      </c>
      <c r="AI69" s="1673"/>
    </row>
    <row r="70" spans="2:35" ht="15">
      <c r="B70" s="1673">
        <v>59</v>
      </c>
      <c r="C70" s="1674" t="s">
        <v>1838</v>
      </c>
      <c r="D70" s="1674" t="s">
        <v>1835</v>
      </c>
      <c r="E70" s="1674" t="s">
        <v>1836</v>
      </c>
      <c r="F70" s="1681">
        <v>1286587</v>
      </c>
      <c r="G70" s="1682">
        <f t="shared" si="0"/>
        <v>450305.44999999995</v>
      </c>
      <c r="H70" s="1681">
        <v>97780.611999999994</v>
      </c>
      <c r="I70" s="1682">
        <f t="shared" si="1"/>
        <v>-34223.214199999995</v>
      </c>
      <c r="J70" s="1682">
        <f t="shared" si="8"/>
        <v>513862.84779999993</v>
      </c>
      <c r="K70" s="1683"/>
      <c r="L70" s="1681">
        <v>1286587</v>
      </c>
      <c r="M70" s="1682">
        <f t="shared" si="2"/>
        <v>270183.27</v>
      </c>
      <c r="N70" s="1681">
        <v>97780.611999999994</v>
      </c>
      <c r="O70" s="1682">
        <f t="shared" si="3"/>
        <v>-20533.928519999998</v>
      </c>
      <c r="P70" s="1682">
        <f t="shared" si="4"/>
        <v>347429.95347999997</v>
      </c>
      <c r="Q70" s="1684"/>
      <c r="R70" s="1682">
        <f t="shared" si="5"/>
        <v>166432.89431999996</v>
      </c>
      <c r="S70" s="1683"/>
      <c r="T70" s="1681">
        <v>0</v>
      </c>
      <c r="U70" s="1683"/>
      <c r="V70" s="1681">
        <v>166432.89431999996</v>
      </c>
      <c r="W70" s="1683"/>
      <c r="X70" s="1682">
        <f t="shared" si="6"/>
        <v>0</v>
      </c>
      <c r="Y70" s="1677"/>
      <c r="Z70" s="1678" t="s">
        <v>1836</v>
      </c>
      <c r="AA70" s="1679"/>
      <c r="AB70" s="1678" t="s">
        <v>37</v>
      </c>
      <c r="AC70" s="1679"/>
      <c r="AD70" s="1680">
        <v>0</v>
      </c>
      <c r="AE70" s="1679"/>
      <c r="AF70" s="1682">
        <f t="shared" si="7"/>
        <v>0</v>
      </c>
      <c r="AG70" s="1679"/>
      <c r="AH70" s="1673">
        <v>190</v>
      </c>
      <c r="AI70" s="1673"/>
    </row>
    <row r="71" spans="2:35" ht="15">
      <c r="B71" s="1673">
        <v>60</v>
      </c>
      <c r="C71" s="1674" t="s">
        <v>1838</v>
      </c>
      <c r="D71" s="1674" t="s">
        <v>1839</v>
      </c>
      <c r="E71" s="1674" t="s">
        <v>1836</v>
      </c>
      <c r="F71" s="1681">
        <v>0</v>
      </c>
      <c r="G71" s="1682">
        <f t="shared" si="0"/>
        <v>0</v>
      </c>
      <c r="H71" s="1681">
        <v>0</v>
      </c>
      <c r="I71" s="1682">
        <f t="shared" si="1"/>
        <v>0</v>
      </c>
      <c r="J71" s="1682">
        <f t="shared" si="8"/>
        <v>0</v>
      </c>
      <c r="K71" s="1683"/>
      <c r="L71" s="1681">
        <v>973762349.54984736</v>
      </c>
      <c r="M71" s="1682">
        <f t="shared" si="2"/>
        <v>204490093.40546793</v>
      </c>
      <c r="N71" s="1681">
        <v>74005938.565788403</v>
      </c>
      <c r="O71" s="1682">
        <f t="shared" si="3"/>
        <v>-15541247.098815564</v>
      </c>
      <c r="P71" s="1682">
        <f t="shared" si="4"/>
        <v>262954784.87244076</v>
      </c>
      <c r="Q71" s="1684"/>
      <c r="R71" s="1682">
        <f t="shared" si="5"/>
        <v>-262954784.87244076</v>
      </c>
      <c r="S71" s="1683"/>
      <c r="T71" s="1681">
        <v>0</v>
      </c>
      <c r="U71" s="1683"/>
      <c r="V71" s="1681">
        <v>-262954784.87244076</v>
      </c>
      <c r="W71" s="1683"/>
      <c r="X71" s="1682">
        <f t="shared" si="6"/>
        <v>0</v>
      </c>
      <c r="Y71" s="1677"/>
      <c r="Z71" s="1678" t="s">
        <v>1836</v>
      </c>
      <c r="AA71" s="1679"/>
      <c r="AB71" s="1678" t="s">
        <v>37</v>
      </c>
      <c r="AC71" s="1679"/>
      <c r="AD71" s="1680">
        <v>0</v>
      </c>
      <c r="AE71" s="1679"/>
      <c r="AF71" s="1682">
        <f t="shared" si="7"/>
        <v>0</v>
      </c>
      <c r="AG71" s="1679"/>
      <c r="AH71" s="1673">
        <v>190</v>
      </c>
      <c r="AI71" s="1673"/>
    </row>
    <row r="72" spans="2:35" ht="15">
      <c r="B72" s="1673">
        <v>61</v>
      </c>
      <c r="C72" s="1685" t="s">
        <v>1840</v>
      </c>
      <c r="D72" s="1678"/>
      <c r="E72" s="1678"/>
      <c r="F72" s="1686">
        <f>SUM(F12:F71)</f>
        <v>304399168.34326088</v>
      </c>
      <c r="G72" s="1686">
        <f>SUM(G12:G71)</f>
        <v>106539708.92014121</v>
      </c>
      <c r="H72" s="1686">
        <f>SUM(H12:H71)</f>
        <v>38589437.800422087</v>
      </c>
      <c r="I72" s="1686">
        <f>SUM(I12:I71)</f>
        <v>-13506303.230147729</v>
      </c>
      <c r="J72" s="1686">
        <f>SUM(J12:J71)</f>
        <v>131622843.49041565</v>
      </c>
      <c r="K72" s="1677"/>
      <c r="L72" s="1686">
        <f>SUM(L12:L71)</f>
        <v>1278161517.8931084</v>
      </c>
      <c r="M72" s="1686">
        <f>SUM(M12:M71)</f>
        <v>268413918.75755274</v>
      </c>
      <c r="N72" s="1686">
        <f>SUM(N12:N71)</f>
        <v>112595376.36621049</v>
      </c>
      <c r="O72" s="1686">
        <f>SUM(O12:O71)</f>
        <v>-23645029.036904205</v>
      </c>
      <c r="P72" s="1686">
        <f>SUM(P12:P71)</f>
        <v>357364266.08685899</v>
      </c>
      <c r="R72" s="1686">
        <f>SUM(R12:R71)</f>
        <v>-225741422.5964433</v>
      </c>
      <c r="S72" s="1677"/>
      <c r="T72" s="1686">
        <f>SUM(T12:T71)</f>
        <v>8458293.1418080255</v>
      </c>
      <c r="U72" s="1677"/>
      <c r="V72" s="1686">
        <f>SUM(V12:V71)</f>
        <v>-285386183.35023677</v>
      </c>
      <c r="W72" s="1677"/>
      <c r="X72" s="1686">
        <f>SUM(X12:X71)</f>
        <v>51186467.611985415</v>
      </c>
      <c r="Y72" s="1677"/>
      <c r="Z72" s="1678"/>
      <c r="AA72" s="1679"/>
      <c r="AB72" s="1678"/>
      <c r="AC72" s="1679"/>
      <c r="AD72" s="1680"/>
      <c r="AE72" s="1679"/>
      <c r="AF72" s="1686">
        <f>SUM(AF12:AF71)</f>
        <v>2291935.4140873626</v>
      </c>
      <c r="AG72" s="1679"/>
      <c r="AH72" s="1673"/>
      <c r="AI72" s="1673"/>
    </row>
    <row r="73" spans="2:35" ht="15">
      <c r="B73" s="1678"/>
      <c r="C73" s="1678"/>
      <c r="D73" s="1678"/>
      <c r="E73" s="1678"/>
      <c r="F73" s="1676"/>
      <c r="G73" s="1676"/>
      <c r="H73" s="1676"/>
      <c r="I73" s="1676"/>
      <c r="J73" s="1676"/>
      <c r="K73" s="1677"/>
      <c r="L73" s="1676"/>
      <c r="M73" s="1676"/>
      <c r="N73" s="1676"/>
      <c r="O73" s="1676"/>
      <c r="P73" s="1676"/>
      <c r="R73" s="1676"/>
      <c r="S73" s="1677"/>
      <c r="T73" s="1676"/>
      <c r="U73" s="1677"/>
      <c r="V73" s="1676"/>
      <c r="W73" s="1677"/>
      <c r="X73" s="1676"/>
      <c r="Y73" s="1677"/>
      <c r="Z73" s="1678"/>
      <c r="AA73" s="1679"/>
      <c r="AB73" s="1678"/>
      <c r="AC73" s="1679"/>
      <c r="AD73" s="1680"/>
      <c r="AE73" s="1679"/>
      <c r="AF73" s="1676"/>
      <c r="AG73" s="1679"/>
      <c r="AH73" s="1673"/>
      <c r="AI73" s="1673"/>
    </row>
    <row r="74" spans="2:35" ht="15">
      <c r="B74" s="1678"/>
      <c r="C74" s="1678"/>
      <c r="D74" s="1678"/>
      <c r="E74" s="1678"/>
      <c r="F74" s="1676"/>
      <c r="G74" s="1676"/>
      <c r="H74" s="1676"/>
      <c r="I74" s="1676"/>
      <c r="J74" s="1676"/>
      <c r="K74" s="1677"/>
      <c r="L74" s="1676"/>
      <c r="M74" s="1676"/>
      <c r="N74" s="1676"/>
      <c r="O74" s="1676"/>
      <c r="P74" s="1676"/>
      <c r="R74" s="1676"/>
      <c r="S74" s="1677"/>
      <c r="T74" s="1676"/>
      <c r="U74" s="1677"/>
      <c r="V74" s="1676"/>
      <c r="W74" s="1677"/>
      <c r="X74" s="1676"/>
      <c r="Y74" s="1677"/>
      <c r="Z74" s="1678"/>
      <c r="AA74" s="1679"/>
      <c r="AB74" s="1678"/>
      <c r="AC74" s="1679"/>
      <c r="AD74" s="1680"/>
      <c r="AE74" s="1679"/>
      <c r="AF74" s="1676"/>
      <c r="AG74" s="1679"/>
      <c r="AH74" s="1673"/>
      <c r="AI74" s="1673"/>
    </row>
    <row r="75" spans="2:35" ht="15">
      <c r="B75" s="1678"/>
      <c r="C75" s="1672" t="s">
        <v>1841</v>
      </c>
      <c r="D75" s="1678"/>
      <c r="E75" s="1678"/>
      <c r="F75" s="1676"/>
      <c r="G75" s="1676"/>
      <c r="H75" s="1676"/>
      <c r="I75" s="1676"/>
      <c r="J75" s="1676"/>
      <c r="K75" s="1677"/>
      <c r="L75" s="1676"/>
      <c r="M75" s="1676"/>
      <c r="N75" s="1676"/>
      <c r="O75" s="1676"/>
      <c r="P75" s="1676"/>
      <c r="R75" s="1676"/>
      <c r="S75" s="1677"/>
      <c r="T75" s="1676"/>
      <c r="U75" s="1677"/>
      <c r="V75" s="1676"/>
      <c r="W75" s="1677"/>
      <c r="X75" s="1676"/>
      <c r="Y75" s="1677"/>
      <c r="Z75" s="1678"/>
      <c r="AA75" s="1679"/>
      <c r="AB75" s="1678"/>
      <c r="AC75" s="1679"/>
      <c r="AD75" s="1680"/>
      <c r="AE75" s="1679"/>
      <c r="AF75" s="1676"/>
      <c r="AG75" s="1679"/>
      <c r="AH75" s="1673"/>
      <c r="AI75" s="1673"/>
    </row>
    <row r="76" spans="2:35" ht="15">
      <c r="B76" s="1673">
        <v>62</v>
      </c>
      <c r="C76" s="1674" t="s">
        <v>1842</v>
      </c>
      <c r="D76" s="1674" t="s">
        <v>1843</v>
      </c>
      <c r="E76" s="1674" t="s">
        <v>1696</v>
      </c>
      <c r="F76" s="1675">
        <v>-2311845643.1799998</v>
      </c>
      <c r="G76" s="1676">
        <f t="shared" ref="G76:G91" si="9">F76*0.35</f>
        <v>-809145975.11299992</v>
      </c>
      <c r="H76" s="1675">
        <v>0</v>
      </c>
      <c r="I76" s="1676">
        <f t="shared" ref="I76:I91" si="10">-H76*0.35</f>
        <v>0</v>
      </c>
      <c r="J76" s="1676">
        <f t="shared" ref="J76:J91" si="11">G76+H76+I76</f>
        <v>-809145975.11299992</v>
      </c>
      <c r="K76" s="1677"/>
      <c r="L76" s="1675">
        <v>-2311845643.1799998</v>
      </c>
      <c r="M76" s="1676">
        <f t="shared" ref="M76:M91" si="12">L76*0.21</f>
        <v>-485487585.06779993</v>
      </c>
      <c r="N76" s="1675">
        <v>0</v>
      </c>
      <c r="O76" s="1676">
        <f t="shared" ref="O76:O91" si="13">-N76*0.21</f>
        <v>0</v>
      </c>
      <c r="P76" s="1676">
        <f t="shared" ref="P76:P91" si="14">M76+N76+O76</f>
        <v>-485487585.06779993</v>
      </c>
      <c r="R76" s="1676">
        <f t="shared" ref="R76:R91" si="15">J76-P76</f>
        <v>-323658390.04519999</v>
      </c>
      <c r="S76" s="1677"/>
      <c r="T76" s="1675">
        <v>0</v>
      </c>
      <c r="U76" s="1677"/>
      <c r="V76" s="1675">
        <v>0</v>
      </c>
      <c r="W76" s="1677"/>
      <c r="X76" s="1676">
        <f t="shared" ref="X76:X91" si="16">R76-T76-V76</f>
        <v>-323658390.04519999</v>
      </c>
      <c r="Y76" s="1677"/>
      <c r="Z76" s="1678" t="s">
        <v>1819</v>
      </c>
      <c r="AA76" s="1679"/>
      <c r="AB76" s="1678" t="s">
        <v>36</v>
      </c>
      <c r="AC76" s="1679"/>
      <c r="AD76" s="1680">
        <v>0.17320000000000002</v>
      </c>
      <c r="AE76" s="1679"/>
      <c r="AF76" s="1676">
        <f t="shared" ref="AF76:AF91" si="17">X76*AD76</f>
        <v>-56057633.155828647</v>
      </c>
      <c r="AG76" s="1679"/>
      <c r="AH76" s="1673">
        <v>282</v>
      </c>
      <c r="AI76" s="1673"/>
    </row>
    <row r="77" spans="2:35" ht="15">
      <c r="B77" s="1673">
        <v>63</v>
      </c>
      <c r="C77" s="1674" t="s">
        <v>1844</v>
      </c>
      <c r="D77" s="1674" t="s">
        <v>1845</v>
      </c>
      <c r="E77" s="1674" t="s">
        <v>1694</v>
      </c>
      <c r="F77" s="1681">
        <v>-2111838818.1799998</v>
      </c>
      <c r="G77" s="1682">
        <f t="shared" si="9"/>
        <v>-739143586.36299992</v>
      </c>
      <c r="H77" s="1681">
        <v>0</v>
      </c>
      <c r="I77" s="1682">
        <f t="shared" si="10"/>
        <v>0</v>
      </c>
      <c r="J77" s="1682">
        <f t="shared" si="11"/>
        <v>-739143586.36299992</v>
      </c>
      <c r="K77" s="1683"/>
      <c r="L77" s="1681">
        <v>-2111838818.1799998</v>
      </c>
      <c r="M77" s="1682">
        <f t="shared" si="12"/>
        <v>-443486151.81779993</v>
      </c>
      <c r="N77" s="1681">
        <v>0</v>
      </c>
      <c r="O77" s="1682">
        <f t="shared" si="13"/>
        <v>0</v>
      </c>
      <c r="P77" s="1682">
        <f t="shared" si="14"/>
        <v>-443486151.81779993</v>
      </c>
      <c r="Q77" s="1684"/>
      <c r="R77" s="1682">
        <f t="shared" si="15"/>
        <v>-295657434.54519999</v>
      </c>
      <c r="S77" s="1683"/>
      <c r="T77" s="1681">
        <v>0</v>
      </c>
      <c r="U77" s="1683"/>
      <c r="V77" s="1681">
        <v>0</v>
      </c>
      <c r="W77" s="1683"/>
      <c r="X77" s="1682">
        <f t="shared" si="16"/>
        <v>-295657434.54519999</v>
      </c>
      <c r="Y77" s="1677"/>
      <c r="Z77" s="1678" t="s">
        <v>1819</v>
      </c>
      <c r="AA77" s="1679"/>
      <c r="AB77" s="1678" t="s">
        <v>36</v>
      </c>
      <c r="AC77" s="1679"/>
      <c r="AD77" s="1680">
        <v>0.17320000000000002</v>
      </c>
      <c r="AE77" s="1679"/>
      <c r="AF77" s="1682">
        <f t="shared" si="17"/>
        <v>-51207867.663228646</v>
      </c>
      <c r="AG77" s="1679"/>
      <c r="AH77" s="1673">
        <v>282</v>
      </c>
      <c r="AI77" s="1673"/>
    </row>
    <row r="78" spans="2:35" ht="15">
      <c r="B78" s="1673">
        <v>64</v>
      </c>
      <c r="C78" s="1674" t="s">
        <v>1846</v>
      </c>
      <c r="D78" s="1674" t="s">
        <v>1845</v>
      </c>
      <c r="E78" s="1674" t="s">
        <v>1694</v>
      </c>
      <c r="F78" s="1681">
        <v>149683320.25999999</v>
      </c>
      <c r="G78" s="1682">
        <f t="shared" si="9"/>
        <v>52389162.090999991</v>
      </c>
      <c r="H78" s="1681">
        <v>0</v>
      </c>
      <c r="I78" s="1682">
        <f t="shared" si="10"/>
        <v>0</v>
      </c>
      <c r="J78" s="1682">
        <f t="shared" si="11"/>
        <v>52389162.090999991</v>
      </c>
      <c r="K78" s="1683"/>
      <c r="L78" s="1681">
        <v>149683320.25999999</v>
      </c>
      <c r="M78" s="1682">
        <f t="shared" si="12"/>
        <v>31433497.254599996</v>
      </c>
      <c r="N78" s="1681">
        <v>0</v>
      </c>
      <c r="O78" s="1682">
        <f t="shared" si="13"/>
        <v>0</v>
      </c>
      <c r="P78" s="1682">
        <f t="shared" si="14"/>
        <v>31433497.254599996</v>
      </c>
      <c r="Q78" s="1684"/>
      <c r="R78" s="1682">
        <f t="shared" si="15"/>
        <v>20955664.836399995</v>
      </c>
      <c r="S78" s="1683"/>
      <c r="T78" s="1681">
        <v>0</v>
      </c>
      <c r="U78" s="1683"/>
      <c r="V78" s="1681">
        <v>0</v>
      </c>
      <c r="W78" s="1683"/>
      <c r="X78" s="1682">
        <f t="shared" si="16"/>
        <v>20955664.836399995</v>
      </c>
      <c r="Y78" s="1677"/>
      <c r="Z78" s="1678" t="s">
        <v>1819</v>
      </c>
      <c r="AA78" s="1679"/>
      <c r="AB78" s="1678" t="s">
        <v>37</v>
      </c>
      <c r="AC78" s="1679"/>
      <c r="AD78" s="1680">
        <v>0</v>
      </c>
      <c r="AE78" s="1679"/>
      <c r="AF78" s="1682">
        <f t="shared" si="17"/>
        <v>0</v>
      </c>
      <c r="AG78" s="1679"/>
      <c r="AH78" s="1673">
        <v>282</v>
      </c>
      <c r="AI78" s="1673"/>
    </row>
    <row r="79" spans="2:35" ht="15">
      <c r="B79" s="1673">
        <v>65</v>
      </c>
      <c r="C79" s="1674" t="s">
        <v>1847</v>
      </c>
      <c r="D79" s="1674" t="s">
        <v>1845</v>
      </c>
      <c r="E79" s="1674" t="s">
        <v>1694</v>
      </c>
      <c r="F79" s="1681">
        <v>-281503159.13999999</v>
      </c>
      <c r="G79" s="1682">
        <f t="shared" si="9"/>
        <v>-98526105.698999986</v>
      </c>
      <c r="H79" s="1681">
        <v>0</v>
      </c>
      <c r="I79" s="1682">
        <f t="shared" si="10"/>
        <v>0</v>
      </c>
      <c r="J79" s="1682">
        <f t="shared" si="11"/>
        <v>-98526105.698999986</v>
      </c>
      <c r="K79" s="1683"/>
      <c r="L79" s="1681">
        <v>-281503159.13999999</v>
      </c>
      <c r="M79" s="1682">
        <f t="shared" si="12"/>
        <v>-59115663.419399992</v>
      </c>
      <c r="N79" s="1681">
        <v>0</v>
      </c>
      <c r="O79" s="1682">
        <f t="shared" si="13"/>
        <v>0</v>
      </c>
      <c r="P79" s="1682">
        <f t="shared" si="14"/>
        <v>-59115663.419399992</v>
      </c>
      <c r="Q79" s="1684"/>
      <c r="R79" s="1682">
        <f t="shared" si="15"/>
        <v>-39410442.279599994</v>
      </c>
      <c r="S79" s="1683"/>
      <c r="T79" s="1681">
        <v>0</v>
      </c>
      <c r="U79" s="1683"/>
      <c r="V79" s="1681">
        <f>R79</f>
        <v>-39410442.279599994</v>
      </c>
      <c r="W79" s="1683"/>
      <c r="X79" s="1682">
        <f t="shared" si="16"/>
        <v>0</v>
      </c>
      <c r="Y79" s="1677"/>
      <c r="Z79" s="1678" t="s">
        <v>1819</v>
      </c>
      <c r="AA79" s="1679"/>
      <c r="AB79" s="1678" t="s">
        <v>36</v>
      </c>
      <c r="AC79" s="1679"/>
      <c r="AD79" s="1680">
        <v>0.17320000000000002</v>
      </c>
      <c r="AE79" s="1679"/>
      <c r="AF79" s="1682">
        <f t="shared" si="17"/>
        <v>0</v>
      </c>
      <c r="AG79" s="1679"/>
      <c r="AH79" s="1673">
        <v>282</v>
      </c>
      <c r="AI79" s="1673"/>
    </row>
    <row r="80" spans="2:35" ht="15">
      <c r="B80" s="1673">
        <v>66</v>
      </c>
      <c r="C80" s="1674" t="s">
        <v>1848</v>
      </c>
      <c r="D80" s="1674" t="s">
        <v>1845</v>
      </c>
      <c r="E80" s="1674" t="s">
        <v>1694</v>
      </c>
      <c r="F80" s="1681">
        <v>0</v>
      </c>
      <c r="G80" s="1682">
        <f t="shared" si="9"/>
        <v>0</v>
      </c>
      <c r="H80" s="1681">
        <v>-112640145.42824998</v>
      </c>
      <c r="I80" s="1682">
        <f t="shared" si="10"/>
        <v>39424050.899887495</v>
      </c>
      <c r="J80" s="1682">
        <f t="shared" si="11"/>
        <v>-73216094.528362483</v>
      </c>
      <c r="K80" s="1683"/>
      <c r="L80" s="1681">
        <v>0</v>
      </c>
      <c r="M80" s="1682">
        <f t="shared" si="12"/>
        <v>0</v>
      </c>
      <c r="N80" s="1681">
        <v>-112640145.42824998</v>
      </c>
      <c r="O80" s="1682">
        <f t="shared" si="13"/>
        <v>23654430.539932497</v>
      </c>
      <c r="P80" s="1682">
        <f t="shared" si="14"/>
        <v>-88985714.888317496</v>
      </c>
      <c r="Q80" s="1684"/>
      <c r="R80" s="1682">
        <f t="shared" si="15"/>
        <v>15769620.359955013</v>
      </c>
      <c r="S80" s="1683"/>
      <c r="T80" s="1681">
        <v>0</v>
      </c>
      <c r="U80" s="1683"/>
      <c r="V80" s="1681">
        <v>0</v>
      </c>
      <c r="W80" s="1683"/>
      <c r="X80" s="1682">
        <f t="shared" si="16"/>
        <v>15769620.359955013</v>
      </c>
      <c r="Y80" s="1677"/>
      <c r="Z80" s="1678" t="s">
        <v>1819</v>
      </c>
      <c r="AA80" s="1679"/>
      <c r="AB80" s="1678" t="s">
        <v>36</v>
      </c>
      <c r="AC80" s="1679"/>
      <c r="AD80" s="1680">
        <v>0.17320000000000002</v>
      </c>
      <c r="AE80" s="1679"/>
      <c r="AF80" s="1682">
        <f t="shared" si="17"/>
        <v>2731298.2463442087</v>
      </c>
      <c r="AG80" s="1679"/>
      <c r="AH80" s="1673">
        <v>282</v>
      </c>
      <c r="AI80" s="1673"/>
    </row>
    <row r="81" spans="2:35" ht="15">
      <c r="B81" s="1673">
        <v>67</v>
      </c>
      <c r="C81" s="1674" t="s">
        <v>1849</v>
      </c>
      <c r="D81" s="1674" t="s">
        <v>1845</v>
      </c>
      <c r="E81" s="1674" t="s">
        <v>1694</v>
      </c>
      <c r="F81" s="1681">
        <v>0</v>
      </c>
      <c r="G81" s="1682">
        <f t="shared" si="9"/>
        <v>0</v>
      </c>
      <c r="H81" s="1681">
        <v>8226018.1975499988</v>
      </c>
      <c r="I81" s="1682">
        <f t="shared" si="10"/>
        <v>-2879106.3691424993</v>
      </c>
      <c r="J81" s="1682">
        <f t="shared" si="11"/>
        <v>5346911.8284074999</v>
      </c>
      <c r="K81" s="1683"/>
      <c r="L81" s="1681">
        <v>0</v>
      </c>
      <c r="M81" s="1682">
        <f t="shared" si="12"/>
        <v>0</v>
      </c>
      <c r="N81" s="1681">
        <v>8226018.1975499988</v>
      </c>
      <c r="O81" s="1682">
        <f t="shared" si="13"/>
        <v>-1727463.8214854996</v>
      </c>
      <c r="P81" s="1682">
        <f t="shared" si="14"/>
        <v>6498554.3760644989</v>
      </c>
      <c r="Q81" s="1684"/>
      <c r="R81" s="1682">
        <f t="shared" si="15"/>
        <v>-1151642.547656999</v>
      </c>
      <c r="S81" s="1683"/>
      <c r="T81" s="1681">
        <v>0</v>
      </c>
      <c r="U81" s="1683"/>
      <c r="V81" s="1681">
        <v>0</v>
      </c>
      <c r="W81" s="1683"/>
      <c r="X81" s="1682">
        <f t="shared" si="16"/>
        <v>-1151642.547656999</v>
      </c>
      <c r="Y81" s="1677"/>
      <c r="Z81" s="1678" t="s">
        <v>1819</v>
      </c>
      <c r="AA81" s="1679"/>
      <c r="AB81" s="1678" t="s">
        <v>37</v>
      </c>
      <c r="AC81" s="1679"/>
      <c r="AD81" s="1680">
        <v>0</v>
      </c>
      <c r="AE81" s="1679"/>
      <c r="AF81" s="1682">
        <f t="shared" si="17"/>
        <v>0</v>
      </c>
      <c r="AG81" s="1679"/>
      <c r="AH81" s="1673">
        <v>282</v>
      </c>
      <c r="AI81" s="1673"/>
    </row>
    <row r="82" spans="2:35" ht="15">
      <c r="B82" s="1673">
        <v>68</v>
      </c>
      <c r="C82" s="1674" t="s">
        <v>1850</v>
      </c>
      <c r="D82" s="1674" t="s">
        <v>1845</v>
      </c>
      <c r="E82" s="1674" t="s">
        <v>1694</v>
      </c>
      <c r="F82" s="1681">
        <v>0</v>
      </c>
      <c r="G82" s="1682">
        <f t="shared" si="9"/>
        <v>0</v>
      </c>
      <c r="H82" s="1681">
        <v>-12662588.611799998</v>
      </c>
      <c r="I82" s="1682">
        <f t="shared" si="10"/>
        <v>4431906.0141299991</v>
      </c>
      <c r="J82" s="1682">
        <f t="shared" si="11"/>
        <v>-8230682.5976699991</v>
      </c>
      <c r="K82" s="1683"/>
      <c r="L82" s="1681">
        <v>0</v>
      </c>
      <c r="M82" s="1682">
        <f t="shared" si="12"/>
        <v>0</v>
      </c>
      <c r="N82" s="1681">
        <v>-12662588.611799998</v>
      </c>
      <c r="O82" s="1682">
        <f t="shared" si="13"/>
        <v>2659143.6084779995</v>
      </c>
      <c r="P82" s="1682">
        <f t="shared" si="14"/>
        <v>-10003445.003321998</v>
      </c>
      <c r="Q82" s="1684"/>
      <c r="R82" s="1682">
        <f t="shared" si="15"/>
        <v>1772762.4056519987</v>
      </c>
      <c r="S82" s="1683"/>
      <c r="T82" s="1681">
        <v>0</v>
      </c>
      <c r="U82" s="1683"/>
      <c r="V82" s="1681">
        <f>R82</f>
        <v>1772762.4056519987</v>
      </c>
      <c r="W82" s="1683"/>
      <c r="X82" s="1682">
        <f t="shared" si="16"/>
        <v>0</v>
      </c>
      <c r="Y82" s="1677"/>
      <c r="Z82" s="1678" t="s">
        <v>1819</v>
      </c>
      <c r="AA82" s="1679"/>
      <c r="AB82" s="1678" t="s">
        <v>36</v>
      </c>
      <c r="AC82" s="1679"/>
      <c r="AD82" s="1680">
        <v>0.17320000000000002</v>
      </c>
      <c r="AE82" s="1679"/>
      <c r="AF82" s="1682">
        <f t="shared" si="17"/>
        <v>0</v>
      </c>
      <c r="AG82" s="1679"/>
      <c r="AH82" s="1673">
        <v>282</v>
      </c>
      <c r="AI82" s="1673"/>
    </row>
    <row r="83" spans="2:35" ht="15">
      <c r="B83" s="1673">
        <v>69</v>
      </c>
      <c r="C83" s="1674" t="s">
        <v>1851</v>
      </c>
      <c r="D83" s="1674" t="s">
        <v>1852</v>
      </c>
      <c r="E83" s="1674" t="s">
        <v>1694</v>
      </c>
      <c r="F83" s="1681">
        <v>0</v>
      </c>
      <c r="G83" s="1682">
        <f t="shared" si="9"/>
        <v>0</v>
      </c>
      <c r="H83" s="1681">
        <v>-740952.69480000786</v>
      </c>
      <c r="I83" s="1682">
        <f t="shared" si="10"/>
        <v>259333.44318000274</v>
      </c>
      <c r="J83" s="1682">
        <f t="shared" si="11"/>
        <v>-481619.25162000512</v>
      </c>
      <c r="K83" s="1683"/>
      <c r="L83" s="1681">
        <v>0</v>
      </c>
      <c r="M83" s="1682">
        <f t="shared" si="12"/>
        <v>0</v>
      </c>
      <c r="N83" s="1681">
        <v>-740952.69480000786</v>
      </c>
      <c r="O83" s="1682">
        <f t="shared" si="13"/>
        <v>155600.06590800165</v>
      </c>
      <c r="P83" s="1682">
        <f t="shared" si="14"/>
        <v>-585352.62889200624</v>
      </c>
      <c r="Q83" s="1684"/>
      <c r="R83" s="1682">
        <f t="shared" si="15"/>
        <v>103733.37727200112</v>
      </c>
      <c r="S83" s="1683"/>
      <c r="T83" s="1681">
        <v>0</v>
      </c>
      <c r="U83" s="1683"/>
      <c r="V83" s="1681">
        <v>0</v>
      </c>
      <c r="W83" s="1683"/>
      <c r="X83" s="1682">
        <f t="shared" si="16"/>
        <v>103733.37727200112</v>
      </c>
      <c r="Y83" s="1677"/>
      <c r="Z83" s="1678" t="s">
        <v>1819</v>
      </c>
      <c r="AA83" s="1679"/>
      <c r="AB83" s="1678" t="s">
        <v>36</v>
      </c>
      <c r="AC83" s="1679"/>
      <c r="AD83" s="1680">
        <v>0.17320000000000002</v>
      </c>
      <c r="AE83" s="1679"/>
      <c r="AF83" s="1682">
        <f t="shared" si="17"/>
        <v>17966.620943510596</v>
      </c>
      <c r="AG83" s="1679"/>
      <c r="AH83" s="1673">
        <v>282</v>
      </c>
      <c r="AI83" s="1673"/>
    </row>
    <row r="84" spans="2:35" ht="15">
      <c r="B84" s="1673">
        <v>70</v>
      </c>
      <c r="C84" s="1674" t="s">
        <v>1853</v>
      </c>
      <c r="D84" s="1674" t="s">
        <v>1852</v>
      </c>
      <c r="E84" s="1674" t="s">
        <v>1694</v>
      </c>
      <c r="F84" s="1681">
        <v>0</v>
      </c>
      <c r="G84" s="1682">
        <f t="shared" si="9"/>
        <v>0</v>
      </c>
      <c r="H84" s="1681">
        <v>875564.59499999997</v>
      </c>
      <c r="I84" s="1682">
        <f t="shared" si="10"/>
        <v>-306447.60824999999</v>
      </c>
      <c r="J84" s="1682">
        <f t="shared" si="11"/>
        <v>569116.98674999992</v>
      </c>
      <c r="K84" s="1683"/>
      <c r="L84" s="1681">
        <v>0</v>
      </c>
      <c r="M84" s="1682">
        <f t="shared" si="12"/>
        <v>0</v>
      </c>
      <c r="N84" s="1681">
        <v>875564.59499999997</v>
      </c>
      <c r="O84" s="1682">
        <f t="shared" si="13"/>
        <v>-183868.56495</v>
      </c>
      <c r="P84" s="1682">
        <f t="shared" si="14"/>
        <v>691696.03004999994</v>
      </c>
      <c r="Q84" s="1684"/>
      <c r="R84" s="1682">
        <f t="shared" si="15"/>
        <v>-122579.04330000002</v>
      </c>
      <c r="S84" s="1683"/>
      <c r="T84" s="1681">
        <v>0</v>
      </c>
      <c r="U84" s="1683"/>
      <c r="V84" s="1681">
        <v>0</v>
      </c>
      <c r="W84" s="1683"/>
      <c r="X84" s="1682">
        <f t="shared" si="16"/>
        <v>-122579.04330000002</v>
      </c>
      <c r="Y84" s="1677"/>
      <c r="Z84" s="1678" t="s">
        <v>1819</v>
      </c>
      <c r="AA84" s="1679"/>
      <c r="AB84" s="1678" t="s">
        <v>37</v>
      </c>
      <c r="AC84" s="1679"/>
      <c r="AD84" s="1680">
        <v>0</v>
      </c>
      <c r="AE84" s="1679"/>
      <c r="AF84" s="1682">
        <f t="shared" si="17"/>
        <v>0</v>
      </c>
      <c r="AG84" s="1679"/>
      <c r="AH84" s="1673">
        <v>282</v>
      </c>
      <c r="AI84" s="1673"/>
    </row>
    <row r="85" spans="2:35" ht="15">
      <c r="B85" s="1673">
        <v>71</v>
      </c>
      <c r="C85" s="1674" t="s">
        <v>1854</v>
      </c>
      <c r="D85" s="1674" t="s">
        <v>1845</v>
      </c>
      <c r="E85" s="1674" t="s">
        <v>1694</v>
      </c>
      <c r="F85" s="1681">
        <v>0</v>
      </c>
      <c r="G85" s="1682">
        <f t="shared" si="9"/>
        <v>0</v>
      </c>
      <c r="H85" s="1681">
        <v>-112117869.58673999</v>
      </c>
      <c r="I85" s="1682">
        <f t="shared" si="10"/>
        <v>39241254.355358995</v>
      </c>
      <c r="J85" s="1682">
        <f t="shared" si="11"/>
        <v>-72876615.231380999</v>
      </c>
      <c r="K85" s="1683"/>
      <c r="L85" s="1681">
        <v>0</v>
      </c>
      <c r="M85" s="1682">
        <f t="shared" si="12"/>
        <v>0</v>
      </c>
      <c r="N85" s="1681">
        <v>-112117869.58673999</v>
      </c>
      <c r="O85" s="1682">
        <f t="shared" si="13"/>
        <v>23544752.613215398</v>
      </c>
      <c r="P85" s="1682">
        <f t="shared" si="14"/>
        <v>-88573116.973524585</v>
      </c>
      <c r="Q85" s="1684"/>
      <c r="R85" s="1682">
        <f t="shared" si="15"/>
        <v>15696501.742143586</v>
      </c>
      <c r="S85" s="1683"/>
      <c r="T85" s="1681">
        <v>0</v>
      </c>
      <c r="U85" s="1683"/>
      <c r="V85" s="1681">
        <v>0</v>
      </c>
      <c r="W85" s="1683"/>
      <c r="X85" s="1682">
        <f t="shared" si="16"/>
        <v>15696501.742143586</v>
      </c>
      <c r="Y85" s="1677"/>
      <c r="Z85" s="1678" t="s">
        <v>1819</v>
      </c>
      <c r="AA85" s="1679"/>
      <c r="AB85" s="1678" t="s">
        <v>36</v>
      </c>
      <c r="AC85" s="1679"/>
      <c r="AD85" s="1680">
        <v>0.17320000000000002</v>
      </c>
      <c r="AE85" s="1679"/>
      <c r="AF85" s="1682">
        <f t="shared" si="17"/>
        <v>2718634.1017392697</v>
      </c>
      <c r="AG85" s="1679"/>
      <c r="AH85" s="1673">
        <v>282</v>
      </c>
      <c r="AI85" s="1673"/>
    </row>
    <row r="86" spans="2:35" ht="15">
      <c r="B86" s="1673">
        <v>72</v>
      </c>
      <c r="C86" s="1674" t="s">
        <v>1855</v>
      </c>
      <c r="D86" s="1674" t="s">
        <v>1845</v>
      </c>
      <c r="E86" s="1674" t="s">
        <v>1694</v>
      </c>
      <c r="F86" s="1681">
        <v>0</v>
      </c>
      <c r="G86" s="1682">
        <f t="shared" si="9"/>
        <v>0</v>
      </c>
      <c r="H86" s="1681">
        <v>5666812.5438399995</v>
      </c>
      <c r="I86" s="1682">
        <f t="shared" si="10"/>
        <v>-1983384.3903439997</v>
      </c>
      <c r="J86" s="1682">
        <f t="shared" si="11"/>
        <v>3683428.153496</v>
      </c>
      <c r="K86" s="1683"/>
      <c r="L86" s="1681">
        <v>0</v>
      </c>
      <c r="M86" s="1682">
        <f t="shared" si="12"/>
        <v>0</v>
      </c>
      <c r="N86" s="1681">
        <v>5666812.5438399995</v>
      </c>
      <c r="O86" s="1682">
        <f t="shared" si="13"/>
        <v>-1190030.6342063998</v>
      </c>
      <c r="P86" s="1682">
        <f t="shared" si="14"/>
        <v>4476781.9096335992</v>
      </c>
      <c r="Q86" s="1684"/>
      <c r="R86" s="1682">
        <f t="shared" si="15"/>
        <v>-793353.75613759924</v>
      </c>
      <c r="S86" s="1683"/>
      <c r="T86" s="1681">
        <v>0</v>
      </c>
      <c r="U86" s="1683"/>
      <c r="V86" s="1681">
        <v>0</v>
      </c>
      <c r="W86" s="1683"/>
      <c r="X86" s="1682">
        <f t="shared" si="16"/>
        <v>-793353.75613759924</v>
      </c>
      <c r="Y86" s="1677"/>
      <c r="Z86" s="1678" t="s">
        <v>1819</v>
      </c>
      <c r="AA86" s="1679"/>
      <c r="AB86" s="1678" t="s">
        <v>37</v>
      </c>
      <c r="AC86" s="1679"/>
      <c r="AD86" s="1680">
        <v>0</v>
      </c>
      <c r="AE86" s="1679"/>
      <c r="AF86" s="1682">
        <f t="shared" si="17"/>
        <v>0</v>
      </c>
      <c r="AG86" s="1679"/>
      <c r="AH86" s="1673">
        <v>282</v>
      </c>
      <c r="AI86" s="1673"/>
    </row>
    <row r="87" spans="2:35" ht="15">
      <c r="B87" s="1673">
        <v>73</v>
      </c>
      <c r="C87" s="1674" t="s">
        <v>1856</v>
      </c>
      <c r="D87" s="1674" t="s">
        <v>1845</v>
      </c>
      <c r="E87" s="1674" t="s">
        <v>1694</v>
      </c>
      <c r="F87" s="1681">
        <v>0</v>
      </c>
      <c r="G87" s="1682">
        <f t="shared" si="9"/>
        <v>0</v>
      </c>
      <c r="H87" s="1681">
        <v>-4499321.108289999</v>
      </c>
      <c r="I87" s="1682">
        <f t="shared" si="10"/>
        <v>1574762.3879014996</v>
      </c>
      <c r="J87" s="1682">
        <f t="shared" si="11"/>
        <v>-2924558.7203884991</v>
      </c>
      <c r="K87" s="1683"/>
      <c r="L87" s="1681">
        <v>0</v>
      </c>
      <c r="M87" s="1682">
        <f t="shared" si="12"/>
        <v>0</v>
      </c>
      <c r="N87" s="1681">
        <v>-4499321.108289999</v>
      </c>
      <c r="O87" s="1682">
        <f t="shared" si="13"/>
        <v>944857.43274089973</v>
      </c>
      <c r="P87" s="1682">
        <f t="shared" si="14"/>
        <v>-3554463.6755490992</v>
      </c>
      <c r="Q87" s="1684"/>
      <c r="R87" s="1682">
        <f t="shared" si="15"/>
        <v>629904.95516060013</v>
      </c>
      <c r="S87" s="1683"/>
      <c r="T87" s="1681">
        <v>0</v>
      </c>
      <c r="U87" s="1683"/>
      <c r="V87" s="1681">
        <f>R87</f>
        <v>629904.95516060013</v>
      </c>
      <c r="W87" s="1683"/>
      <c r="X87" s="1682">
        <f t="shared" si="16"/>
        <v>0</v>
      </c>
      <c r="Y87" s="1677"/>
      <c r="Z87" s="1678" t="s">
        <v>1819</v>
      </c>
      <c r="AA87" s="1679"/>
      <c r="AB87" s="1678" t="s">
        <v>36</v>
      </c>
      <c r="AC87" s="1679"/>
      <c r="AD87" s="1680">
        <v>0.17320000000000002</v>
      </c>
      <c r="AE87" s="1679"/>
      <c r="AF87" s="1682">
        <f t="shared" si="17"/>
        <v>0</v>
      </c>
      <c r="AG87" s="1679"/>
      <c r="AH87" s="1673">
        <v>282</v>
      </c>
      <c r="AI87" s="1673"/>
    </row>
    <row r="88" spans="2:35" ht="15">
      <c r="B88" s="1673">
        <v>74</v>
      </c>
      <c r="C88" s="1674" t="s">
        <v>1857</v>
      </c>
      <c r="D88" s="1674" t="s">
        <v>1852</v>
      </c>
      <c r="E88" s="1674" t="s">
        <v>1694</v>
      </c>
      <c r="F88" s="1681">
        <v>0</v>
      </c>
      <c r="G88" s="1682">
        <f t="shared" si="9"/>
        <v>0</v>
      </c>
      <c r="H88" s="1681">
        <v>-510434.16100081935</v>
      </c>
      <c r="I88" s="1682">
        <f t="shared" si="10"/>
        <v>178651.95635028675</v>
      </c>
      <c r="J88" s="1682">
        <f t="shared" si="11"/>
        <v>-331782.20465053257</v>
      </c>
      <c r="K88" s="1683"/>
      <c r="L88" s="1681">
        <v>0</v>
      </c>
      <c r="M88" s="1682">
        <f t="shared" si="12"/>
        <v>0</v>
      </c>
      <c r="N88" s="1681">
        <v>-510434.16100081935</v>
      </c>
      <c r="O88" s="1682">
        <f t="shared" si="13"/>
        <v>107191.17381017205</v>
      </c>
      <c r="P88" s="1682">
        <f t="shared" si="14"/>
        <v>-403242.98719064728</v>
      </c>
      <c r="Q88" s="1684"/>
      <c r="R88" s="1682">
        <f t="shared" si="15"/>
        <v>71460.782540114713</v>
      </c>
      <c r="S88" s="1683"/>
      <c r="T88" s="1681">
        <v>0</v>
      </c>
      <c r="U88" s="1683"/>
      <c r="V88" s="1681">
        <v>0</v>
      </c>
      <c r="W88" s="1683"/>
      <c r="X88" s="1682">
        <f t="shared" si="16"/>
        <v>71460.782540114713</v>
      </c>
      <c r="Y88" s="1677"/>
      <c r="Z88" s="1678" t="s">
        <v>1819</v>
      </c>
      <c r="AA88" s="1679"/>
      <c r="AB88" s="1678" t="s">
        <v>36</v>
      </c>
      <c r="AC88" s="1679"/>
      <c r="AD88" s="1680">
        <v>0.17320000000000002</v>
      </c>
      <c r="AE88" s="1679"/>
      <c r="AF88" s="1682">
        <f t="shared" si="17"/>
        <v>12377.007535947871</v>
      </c>
      <c r="AG88" s="1679"/>
      <c r="AH88" s="1673">
        <v>282</v>
      </c>
      <c r="AI88" s="1673"/>
    </row>
    <row r="89" spans="2:35" ht="15">
      <c r="B89" s="1673">
        <v>75</v>
      </c>
      <c r="C89" s="1674" t="s">
        <v>1858</v>
      </c>
      <c r="D89" s="1674" t="s">
        <v>1852</v>
      </c>
      <c r="E89" s="1674" t="s">
        <v>1694</v>
      </c>
      <c r="F89" s="1681">
        <v>0</v>
      </c>
      <c r="G89" s="1682">
        <f t="shared" si="9"/>
        <v>0</v>
      </c>
      <c r="H89" s="1681">
        <v>603166.72100000002</v>
      </c>
      <c r="I89" s="1682">
        <f t="shared" si="10"/>
        <v>-211108.35235</v>
      </c>
      <c r="J89" s="1682">
        <f t="shared" si="11"/>
        <v>392058.36865000002</v>
      </c>
      <c r="K89" s="1683"/>
      <c r="L89" s="1681">
        <v>0</v>
      </c>
      <c r="M89" s="1682">
        <f t="shared" si="12"/>
        <v>0</v>
      </c>
      <c r="N89" s="1681">
        <v>603166.72100000002</v>
      </c>
      <c r="O89" s="1682">
        <f t="shared" si="13"/>
        <v>-126665.01141000001</v>
      </c>
      <c r="P89" s="1682">
        <f t="shared" si="14"/>
        <v>476501.70958999998</v>
      </c>
      <c r="Q89" s="1684"/>
      <c r="R89" s="1682">
        <f t="shared" si="15"/>
        <v>-84443.340939999965</v>
      </c>
      <c r="S89" s="1683"/>
      <c r="T89" s="1681">
        <v>0</v>
      </c>
      <c r="U89" s="1683"/>
      <c r="V89" s="1681">
        <v>0</v>
      </c>
      <c r="W89" s="1683"/>
      <c r="X89" s="1682">
        <f t="shared" si="16"/>
        <v>-84443.340939999965</v>
      </c>
      <c r="Y89" s="1677"/>
      <c r="Z89" s="1678" t="s">
        <v>1819</v>
      </c>
      <c r="AA89" s="1679"/>
      <c r="AB89" s="1678" t="s">
        <v>37</v>
      </c>
      <c r="AC89" s="1679"/>
      <c r="AD89" s="1680">
        <v>0</v>
      </c>
      <c r="AE89" s="1679"/>
      <c r="AF89" s="1682">
        <f t="shared" si="17"/>
        <v>0</v>
      </c>
      <c r="AG89" s="1679"/>
      <c r="AH89" s="1673">
        <v>282</v>
      </c>
      <c r="AI89" s="1673"/>
    </row>
    <row r="90" spans="2:35" ht="15">
      <c r="B90" s="1673">
        <v>76</v>
      </c>
      <c r="C90" s="1674" t="s">
        <v>1859</v>
      </c>
      <c r="D90" s="1674" t="s">
        <v>1852</v>
      </c>
      <c r="E90" s="1674" t="s">
        <v>1694</v>
      </c>
      <c r="F90" s="1681">
        <v>-16465645.023610234</v>
      </c>
      <c r="G90" s="1682">
        <f t="shared" si="9"/>
        <v>-5762975.7582635814</v>
      </c>
      <c r="H90" s="1681">
        <v>0</v>
      </c>
      <c r="I90" s="1682">
        <f t="shared" si="10"/>
        <v>0</v>
      </c>
      <c r="J90" s="1682">
        <f t="shared" si="11"/>
        <v>-5762975.7582635814</v>
      </c>
      <c r="K90" s="1683"/>
      <c r="L90" s="1681">
        <v>-16465645.023610234</v>
      </c>
      <c r="M90" s="1682">
        <f t="shared" si="12"/>
        <v>-3457785.4549581492</v>
      </c>
      <c r="N90" s="1681">
        <v>0</v>
      </c>
      <c r="O90" s="1682">
        <f t="shared" si="13"/>
        <v>0</v>
      </c>
      <c r="P90" s="1682">
        <f t="shared" si="14"/>
        <v>-3457785.4549581492</v>
      </c>
      <c r="Q90" s="1684"/>
      <c r="R90" s="1682">
        <f t="shared" si="15"/>
        <v>-2305190.3033054322</v>
      </c>
      <c r="S90" s="1683"/>
      <c r="T90" s="1681">
        <v>0</v>
      </c>
      <c r="U90" s="1683"/>
      <c r="V90" s="1681">
        <v>0</v>
      </c>
      <c r="W90" s="1683"/>
      <c r="X90" s="1682">
        <f t="shared" si="16"/>
        <v>-2305190.3033054322</v>
      </c>
      <c r="Y90" s="1677"/>
      <c r="Z90" s="1678" t="s">
        <v>1819</v>
      </c>
      <c r="AA90" s="1679"/>
      <c r="AB90" s="1678" t="s">
        <v>36</v>
      </c>
      <c r="AC90" s="1679"/>
      <c r="AD90" s="1680">
        <v>0.17320000000000002</v>
      </c>
      <c r="AE90" s="1679"/>
      <c r="AF90" s="1682">
        <f t="shared" si="17"/>
        <v>-399258.96053250093</v>
      </c>
      <c r="AG90" s="1679"/>
      <c r="AH90" s="1673">
        <v>282</v>
      </c>
      <c r="AI90" s="1673"/>
    </row>
    <row r="91" spans="2:35" ht="15">
      <c r="B91" s="1673">
        <v>77</v>
      </c>
      <c r="C91" s="1674" t="s">
        <v>1860</v>
      </c>
      <c r="D91" s="1674" t="s">
        <v>1852</v>
      </c>
      <c r="E91" s="1674" t="s">
        <v>1694</v>
      </c>
      <c r="F91" s="1681">
        <v>19456991</v>
      </c>
      <c r="G91" s="1682">
        <f t="shared" si="9"/>
        <v>6809946.8499999996</v>
      </c>
      <c r="H91" s="1681">
        <v>0</v>
      </c>
      <c r="I91" s="1682">
        <f t="shared" si="10"/>
        <v>0</v>
      </c>
      <c r="J91" s="1682">
        <f t="shared" si="11"/>
        <v>6809946.8499999996</v>
      </c>
      <c r="K91" s="1683"/>
      <c r="L91" s="1681">
        <v>19456991</v>
      </c>
      <c r="M91" s="1682">
        <f t="shared" si="12"/>
        <v>4085968.11</v>
      </c>
      <c r="N91" s="1681">
        <v>0</v>
      </c>
      <c r="O91" s="1682">
        <f t="shared" si="13"/>
        <v>0</v>
      </c>
      <c r="P91" s="1682">
        <f t="shared" si="14"/>
        <v>4085968.11</v>
      </c>
      <c r="Q91" s="1684"/>
      <c r="R91" s="1682">
        <f t="shared" si="15"/>
        <v>2723978.7399999998</v>
      </c>
      <c r="S91" s="1683"/>
      <c r="T91" s="1681">
        <v>0</v>
      </c>
      <c r="U91" s="1683"/>
      <c r="V91" s="1681">
        <v>0</v>
      </c>
      <c r="W91" s="1683"/>
      <c r="X91" s="1682">
        <f t="shared" si="16"/>
        <v>2723978.7399999998</v>
      </c>
      <c r="Y91" s="1677"/>
      <c r="Z91" s="1678" t="s">
        <v>1819</v>
      </c>
      <c r="AA91" s="1679"/>
      <c r="AB91" s="1678" t="s">
        <v>37</v>
      </c>
      <c r="AC91" s="1679"/>
      <c r="AD91" s="1680">
        <v>0</v>
      </c>
      <c r="AE91" s="1679"/>
      <c r="AF91" s="1682">
        <f t="shared" si="17"/>
        <v>0</v>
      </c>
      <c r="AG91" s="1679"/>
      <c r="AH91" s="1673">
        <v>282</v>
      </c>
      <c r="AI91" s="1673"/>
    </row>
    <row r="92" spans="2:35" ht="15">
      <c r="B92" s="1673">
        <v>78</v>
      </c>
      <c r="C92" s="1685" t="s">
        <v>1861</v>
      </c>
      <c r="D92" s="1678"/>
      <c r="E92" s="1678"/>
      <c r="F92" s="1686">
        <f>SUM(F76:F91)</f>
        <v>-4552512954.2636099</v>
      </c>
      <c r="G92" s="1686">
        <f>SUM(G76:G91)</f>
        <v>-1593379533.9922633</v>
      </c>
      <c r="H92" s="1686">
        <f>SUM(H76:H91)</f>
        <v>-227799749.53349081</v>
      </c>
      <c r="I92" s="1686">
        <f>SUM(I76:I91)</f>
        <v>79729912.336721778</v>
      </c>
      <c r="J92" s="1686">
        <f>SUM(J76:J91)</f>
        <v>-1741449371.1890326</v>
      </c>
      <c r="K92" s="1677"/>
      <c r="L92" s="1686">
        <f>SUM(L76:L91)</f>
        <v>-4552512954.2636099</v>
      </c>
      <c r="M92" s="1686">
        <f>SUM(M76:M91)</f>
        <v>-956027720.39535797</v>
      </c>
      <c r="N92" s="1686">
        <f>SUM(N76:N91)</f>
        <v>-227799749.53349081</v>
      </c>
      <c r="O92" s="1686">
        <f>SUM(O76:O91)</f>
        <v>47837947.402033061</v>
      </c>
      <c r="P92" s="1686">
        <f>SUM(P76:P91)</f>
        <v>-1135989522.5268159</v>
      </c>
      <c r="R92" s="1686">
        <f>SUM(R76:R91)</f>
        <v>-605459848.66221666</v>
      </c>
      <c r="S92" s="1677"/>
      <c r="T92" s="1686">
        <f>SUM(T76:T91)</f>
        <v>0</v>
      </c>
      <c r="U92" s="1677"/>
      <c r="V92" s="1686">
        <f>SUM(V76:V91)</f>
        <v>-37007774.91878739</v>
      </c>
      <c r="W92" s="1677"/>
      <c r="X92" s="1686">
        <f>SUM(X76:X91)</f>
        <v>-568452073.74342918</v>
      </c>
      <c r="Y92" s="1677"/>
      <c r="Z92" s="1678"/>
      <c r="AA92" s="1679"/>
      <c r="AB92" s="1678"/>
      <c r="AC92" s="1679"/>
      <c r="AD92" s="1680"/>
      <c r="AE92" s="1679"/>
      <c r="AF92" s="1686">
        <f>SUM(AF76:AF91)</f>
        <v>-102184483.80302684</v>
      </c>
      <c r="AG92" s="1679"/>
      <c r="AH92" s="1673"/>
      <c r="AI92" s="1673"/>
    </row>
    <row r="93" spans="2:35" ht="15">
      <c r="B93" s="1673"/>
      <c r="C93" s="1678"/>
      <c r="D93" s="1678"/>
      <c r="E93" s="1678"/>
      <c r="F93" s="1676"/>
      <c r="G93" s="1676"/>
      <c r="H93" s="1676"/>
      <c r="I93" s="1676"/>
      <c r="J93" s="1676"/>
      <c r="K93" s="1677"/>
      <c r="L93" s="1676"/>
      <c r="M93" s="1676"/>
      <c r="N93" s="1676"/>
      <c r="O93" s="1676"/>
      <c r="P93" s="1676"/>
      <c r="R93" s="1676"/>
      <c r="S93" s="1677"/>
      <c r="T93" s="1676"/>
      <c r="U93" s="1677"/>
      <c r="V93" s="1676"/>
      <c r="W93" s="1677"/>
      <c r="X93" s="1676"/>
      <c r="Y93" s="1677"/>
      <c r="Z93" s="1678"/>
      <c r="AA93" s="1679"/>
      <c r="AB93" s="1678"/>
      <c r="AC93" s="1679"/>
      <c r="AD93" s="1680"/>
      <c r="AE93" s="1679"/>
      <c r="AF93" s="1676"/>
      <c r="AG93" s="1679"/>
      <c r="AH93" s="1673"/>
      <c r="AI93" s="1673"/>
    </row>
    <row r="94" spans="2:35" ht="15">
      <c r="B94" s="1673"/>
      <c r="C94" s="1672" t="s">
        <v>1862</v>
      </c>
      <c r="D94" s="1678"/>
      <c r="E94" s="1678"/>
      <c r="F94" s="1676"/>
      <c r="G94" s="1676"/>
      <c r="H94" s="1676"/>
      <c r="I94" s="1676"/>
      <c r="J94" s="1676"/>
      <c r="K94" s="1677"/>
      <c r="L94" s="1676"/>
      <c r="M94" s="1676"/>
      <c r="N94" s="1676"/>
      <c r="O94" s="1676"/>
      <c r="P94" s="1676"/>
      <c r="R94" s="1676"/>
      <c r="S94" s="1677"/>
      <c r="T94" s="1676"/>
      <c r="U94" s="1677"/>
      <c r="V94" s="1676"/>
      <c r="W94" s="1677"/>
      <c r="X94" s="1676"/>
      <c r="Y94" s="1677"/>
      <c r="Z94" s="1678"/>
      <c r="AA94" s="1679"/>
      <c r="AB94" s="1678"/>
      <c r="AC94" s="1679"/>
      <c r="AD94" s="1680"/>
      <c r="AE94" s="1679"/>
      <c r="AF94" s="1676"/>
      <c r="AG94" s="1679"/>
      <c r="AH94" s="1673"/>
      <c r="AI94" s="1673"/>
    </row>
    <row r="95" spans="2:35" ht="15">
      <c r="B95" s="1673">
        <v>79</v>
      </c>
      <c r="C95" s="1674" t="s">
        <v>1863</v>
      </c>
      <c r="D95" s="1674" t="s">
        <v>370</v>
      </c>
      <c r="E95" s="1674" t="s">
        <v>1772</v>
      </c>
      <c r="F95" s="1675">
        <v>-3209084.45</v>
      </c>
      <c r="G95" s="1676">
        <f t="shared" ref="G95:G115" si="18">F95*0.35</f>
        <v>-1123179.5574999999</v>
      </c>
      <c r="H95" s="1675">
        <v>-243890.41820000001</v>
      </c>
      <c r="I95" s="1676">
        <f t="shared" ref="I95:I115" si="19">-H95*0.35</f>
        <v>85361.646370000002</v>
      </c>
      <c r="J95" s="1676">
        <f t="shared" ref="J95:J115" si="20">G95+H95+I95</f>
        <v>-1281708.3293299999</v>
      </c>
      <c r="K95" s="1677"/>
      <c r="L95" s="1675">
        <v>-3209084.45</v>
      </c>
      <c r="M95" s="1676">
        <f t="shared" ref="M95:M115" si="21">L95*0.21</f>
        <v>-673907.73450000002</v>
      </c>
      <c r="N95" s="1675">
        <v>-243890.41820000001</v>
      </c>
      <c r="O95" s="1676">
        <f t="shared" ref="O95:O115" si="22">-N95*0.21</f>
        <v>51216.987822000003</v>
      </c>
      <c r="P95" s="1676">
        <f t="shared" ref="P95:P115" si="23">M95+N95+O95</f>
        <v>-866581.16487799992</v>
      </c>
      <c r="R95" s="1676">
        <f t="shared" ref="R95:R115" si="24">J95-P95</f>
        <v>-415127.16445199994</v>
      </c>
      <c r="S95" s="1677"/>
      <c r="T95" s="1675">
        <v>0</v>
      </c>
      <c r="U95" s="1677"/>
      <c r="V95" s="1675">
        <v>0</v>
      </c>
      <c r="W95" s="1677"/>
      <c r="X95" s="1676">
        <f t="shared" ref="X95:X115" si="25">R95-T95-V95</f>
        <v>-415127.16445199994</v>
      </c>
      <c r="Y95" s="1677"/>
      <c r="Z95" s="1678" t="s">
        <v>347</v>
      </c>
      <c r="AA95" s="1679"/>
      <c r="AB95" s="1678" t="s">
        <v>36</v>
      </c>
      <c r="AC95" s="1679"/>
      <c r="AD95" s="1680">
        <v>0.10089999999999999</v>
      </c>
      <c r="AE95" s="1679"/>
      <c r="AF95" s="1676">
        <f t="shared" ref="AF95:AF115" si="26">X95*AD95</f>
        <v>-41886.330893206788</v>
      </c>
      <c r="AG95" s="1679"/>
      <c r="AH95" s="1673">
        <v>283</v>
      </c>
      <c r="AI95" s="1673"/>
    </row>
    <row r="96" spans="2:35" ht="15">
      <c r="B96" s="1673">
        <v>80</v>
      </c>
      <c r="C96" s="1674" t="s">
        <v>1864</v>
      </c>
      <c r="D96" s="1674" t="s">
        <v>370</v>
      </c>
      <c r="E96" s="1674" t="s">
        <v>1772</v>
      </c>
      <c r="F96" s="1681">
        <v>-114312.71</v>
      </c>
      <c r="G96" s="1682">
        <f t="shared" si="18"/>
        <v>-40009.448499999999</v>
      </c>
      <c r="H96" s="1681">
        <v>-8687.7659600000006</v>
      </c>
      <c r="I96" s="1682">
        <f t="shared" si="19"/>
        <v>3040.7180859999999</v>
      </c>
      <c r="J96" s="1682">
        <f t="shared" si="20"/>
        <v>-45656.496374000002</v>
      </c>
      <c r="K96" s="1683"/>
      <c r="L96" s="1681">
        <v>-114312.71</v>
      </c>
      <c r="M96" s="1682">
        <f t="shared" si="21"/>
        <v>-24005.669099999999</v>
      </c>
      <c r="N96" s="1681">
        <v>-8687.7659600000006</v>
      </c>
      <c r="O96" s="1682">
        <f t="shared" si="22"/>
        <v>1824.4308516000001</v>
      </c>
      <c r="P96" s="1682">
        <f t="shared" si="23"/>
        <v>-30869.004208400002</v>
      </c>
      <c r="Q96" s="1684"/>
      <c r="R96" s="1682">
        <f t="shared" si="24"/>
        <v>-14787.492165600001</v>
      </c>
      <c r="S96" s="1683"/>
      <c r="T96" s="1681">
        <v>0</v>
      </c>
      <c r="U96" s="1683"/>
      <c r="V96" s="1681">
        <v>0</v>
      </c>
      <c r="W96" s="1683"/>
      <c r="X96" s="1682">
        <f t="shared" si="25"/>
        <v>-14787.492165600001</v>
      </c>
      <c r="Y96" s="1677"/>
      <c r="Z96" s="1678" t="s">
        <v>347</v>
      </c>
      <c r="AA96" s="1679"/>
      <c r="AB96" s="1678" t="s">
        <v>36</v>
      </c>
      <c r="AC96" s="1679"/>
      <c r="AD96" s="1680">
        <v>0.10089999999999999</v>
      </c>
      <c r="AE96" s="1679"/>
      <c r="AF96" s="1682">
        <f t="shared" si="26"/>
        <v>-1492.0579595090398</v>
      </c>
      <c r="AG96" s="1679"/>
      <c r="AH96" s="1673">
        <v>283</v>
      </c>
      <c r="AI96" s="1673"/>
    </row>
    <row r="97" spans="2:35" ht="15">
      <c r="B97" s="1673">
        <v>81</v>
      </c>
      <c r="C97" s="1674" t="s">
        <v>1865</v>
      </c>
      <c r="D97" s="1674" t="s">
        <v>370</v>
      </c>
      <c r="E97" s="1674" t="s">
        <v>1772</v>
      </c>
      <c r="F97" s="1681">
        <v>-11903056.49</v>
      </c>
      <c r="G97" s="1682">
        <f t="shared" si="18"/>
        <v>-4166069.7714999998</v>
      </c>
      <c r="H97" s="1681">
        <v>-904632.29324000003</v>
      </c>
      <c r="I97" s="1682">
        <f t="shared" si="19"/>
        <v>316621.30263399996</v>
      </c>
      <c r="J97" s="1682">
        <f t="shared" si="20"/>
        <v>-4754080.7621060004</v>
      </c>
      <c r="K97" s="1683"/>
      <c r="L97" s="1681">
        <v>-11903056.49</v>
      </c>
      <c r="M97" s="1682">
        <f t="shared" si="21"/>
        <v>-2499641.8629000001</v>
      </c>
      <c r="N97" s="1681">
        <v>-904632.29324000003</v>
      </c>
      <c r="O97" s="1682">
        <f t="shared" si="22"/>
        <v>189972.78158040001</v>
      </c>
      <c r="P97" s="1682">
        <f t="shared" si="23"/>
        <v>-3214301.3745595999</v>
      </c>
      <c r="Q97" s="1684"/>
      <c r="R97" s="1682">
        <f t="shared" si="24"/>
        <v>-1539779.3875464005</v>
      </c>
      <c r="S97" s="1683"/>
      <c r="T97" s="1681">
        <v>0</v>
      </c>
      <c r="U97" s="1683"/>
      <c r="V97" s="1681">
        <v>0</v>
      </c>
      <c r="W97" s="1683"/>
      <c r="X97" s="1682">
        <f t="shared" si="25"/>
        <v>-1539779.3875464005</v>
      </c>
      <c r="Y97" s="1677"/>
      <c r="Z97" s="1678" t="s">
        <v>347</v>
      </c>
      <c r="AA97" s="1679"/>
      <c r="AB97" s="1678" t="s">
        <v>36</v>
      </c>
      <c r="AC97" s="1679"/>
      <c r="AD97" s="1680">
        <v>0.10089999999999999</v>
      </c>
      <c r="AE97" s="1679"/>
      <c r="AF97" s="1682">
        <f t="shared" si="26"/>
        <v>-155363.74020343181</v>
      </c>
      <c r="AG97" s="1679"/>
      <c r="AH97" s="1673">
        <v>283</v>
      </c>
      <c r="AI97" s="1673"/>
    </row>
    <row r="98" spans="2:35" ht="15">
      <c r="B98" s="1673">
        <v>82</v>
      </c>
      <c r="C98" s="1674" t="s">
        <v>1866</v>
      </c>
      <c r="D98" s="1674" t="s">
        <v>371</v>
      </c>
      <c r="E98" s="1674" t="s">
        <v>1772</v>
      </c>
      <c r="F98" s="1681">
        <v>-25368491</v>
      </c>
      <c r="G98" s="1682">
        <f t="shared" si="18"/>
        <v>-8878971.8499999996</v>
      </c>
      <c r="H98" s="1681">
        <v>-1928005.3159999999</v>
      </c>
      <c r="I98" s="1682">
        <f t="shared" si="19"/>
        <v>674801.8605999999</v>
      </c>
      <c r="J98" s="1682">
        <f t="shared" si="20"/>
        <v>-10132175.305399999</v>
      </c>
      <c r="K98" s="1683"/>
      <c r="L98" s="1681">
        <v>-25368491</v>
      </c>
      <c r="M98" s="1682">
        <f t="shared" si="21"/>
        <v>-5327383.1099999994</v>
      </c>
      <c r="N98" s="1681">
        <v>-1928005.3159999999</v>
      </c>
      <c r="O98" s="1682">
        <f t="shared" si="22"/>
        <v>404881.11635999999</v>
      </c>
      <c r="P98" s="1682">
        <f t="shared" si="23"/>
        <v>-6850507.3096399987</v>
      </c>
      <c r="Q98" s="1684"/>
      <c r="R98" s="1682">
        <f t="shared" si="24"/>
        <v>-3281667.9957600003</v>
      </c>
      <c r="S98" s="1683"/>
      <c r="T98" s="1681">
        <v>0</v>
      </c>
      <c r="U98" s="1683"/>
      <c r="V98" s="1681">
        <v>0</v>
      </c>
      <c r="W98" s="1683"/>
      <c r="X98" s="1682">
        <f t="shared" si="25"/>
        <v>-3281667.9957600003</v>
      </c>
      <c r="Y98" s="1677"/>
      <c r="Z98" s="1678" t="s">
        <v>347</v>
      </c>
      <c r="AA98" s="1679"/>
      <c r="AB98" s="1678" t="s">
        <v>36</v>
      </c>
      <c r="AC98" s="1679"/>
      <c r="AD98" s="1680">
        <v>0.10089999999999999</v>
      </c>
      <c r="AE98" s="1679"/>
      <c r="AF98" s="1682">
        <f t="shared" si="26"/>
        <v>-331120.30077218398</v>
      </c>
      <c r="AG98" s="1679"/>
      <c r="AH98" s="1673">
        <v>283</v>
      </c>
      <c r="AI98" s="1673"/>
    </row>
    <row r="99" spans="2:35" ht="15">
      <c r="B99" s="1673">
        <v>83</v>
      </c>
      <c r="C99" s="1674" t="s">
        <v>1867</v>
      </c>
      <c r="D99" s="1674" t="s">
        <v>372</v>
      </c>
      <c r="E99" s="1674" t="s">
        <v>1772</v>
      </c>
      <c r="F99" s="1681">
        <v>-1484384.06</v>
      </c>
      <c r="G99" s="1682">
        <f t="shared" si="18"/>
        <v>-519534.42099999997</v>
      </c>
      <c r="H99" s="1681">
        <v>-112813.18856</v>
      </c>
      <c r="I99" s="1682">
        <f t="shared" si="19"/>
        <v>39484.615995999993</v>
      </c>
      <c r="J99" s="1682">
        <f t="shared" si="20"/>
        <v>-592862.993564</v>
      </c>
      <c r="K99" s="1683"/>
      <c r="L99" s="1681">
        <v>-1484384.06</v>
      </c>
      <c r="M99" s="1682">
        <f t="shared" si="21"/>
        <v>-311720.65259999997</v>
      </c>
      <c r="N99" s="1681">
        <v>-112813.18856</v>
      </c>
      <c r="O99" s="1682">
        <f t="shared" si="22"/>
        <v>23690.7695976</v>
      </c>
      <c r="P99" s="1682">
        <f t="shared" si="23"/>
        <v>-400843.07156239997</v>
      </c>
      <c r="Q99" s="1684"/>
      <c r="R99" s="1682">
        <f t="shared" si="24"/>
        <v>-192019.92200160003</v>
      </c>
      <c r="S99" s="1683"/>
      <c r="T99" s="1681">
        <v>0</v>
      </c>
      <c r="U99" s="1683"/>
      <c r="V99" s="1681">
        <v>0</v>
      </c>
      <c r="W99" s="1683"/>
      <c r="X99" s="1682">
        <f t="shared" si="25"/>
        <v>-192019.92200160003</v>
      </c>
      <c r="Y99" s="1677"/>
      <c r="Z99" s="1678" t="s">
        <v>347</v>
      </c>
      <c r="AA99" s="1679"/>
      <c r="AB99" s="1678" t="s">
        <v>36</v>
      </c>
      <c r="AC99" s="1679"/>
      <c r="AD99" s="1680">
        <v>0.10089999999999999</v>
      </c>
      <c r="AE99" s="1679"/>
      <c r="AF99" s="1682">
        <f t="shared" si="26"/>
        <v>-19374.810129961443</v>
      </c>
      <c r="AG99" s="1679"/>
      <c r="AH99" s="1673">
        <v>283</v>
      </c>
      <c r="AI99" s="1673"/>
    </row>
    <row r="100" spans="2:35" ht="15">
      <c r="B100" s="1673">
        <v>84</v>
      </c>
      <c r="C100" s="1674" t="s">
        <v>1868</v>
      </c>
      <c r="D100" s="1674" t="s">
        <v>130</v>
      </c>
      <c r="E100" s="1674" t="s">
        <v>1772</v>
      </c>
      <c r="F100" s="1681">
        <v>-615222.26</v>
      </c>
      <c r="G100" s="1682">
        <f t="shared" si="18"/>
        <v>-215327.791</v>
      </c>
      <c r="H100" s="1681">
        <v>-46756.891759999999</v>
      </c>
      <c r="I100" s="1682">
        <f t="shared" si="19"/>
        <v>16364.912115999998</v>
      </c>
      <c r="J100" s="1682">
        <f t="shared" si="20"/>
        <v>-245719.770644</v>
      </c>
      <c r="K100" s="1683"/>
      <c r="L100" s="1681">
        <v>-615222.26</v>
      </c>
      <c r="M100" s="1682">
        <f t="shared" si="21"/>
        <v>-129196.6746</v>
      </c>
      <c r="N100" s="1681">
        <v>-46756.891759999999</v>
      </c>
      <c r="O100" s="1682">
        <f t="shared" si="22"/>
        <v>9818.9472695999993</v>
      </c>
      <c r="P100" s="1682">
        <f t="shared" si="23"/>
        <v>-166134.6190904</v>
      </c>
      <c r="Q100" s="1684"/>
      <c r="R100" s="1682">
        <f t="shared" si="24"/>
        <v>-79585.151553600008</v>
      </c>
      <c r="S100" s="1683"/>
      <c r="T100" s="1681">
        <v>0</v>
      </c>
      <c r="U100" s="1683"/>
      <c r="V100" s="1681">
        <v>0</v>
      </c>
      <c r="W100" s="1683"/>
      <c r="X100" s="1682">
        <f t="shared" si="25"/>
        <v>-79585.151553600008</v>
      </c>
      <c r="Y100" s="1677"/>
      <c r="Z100" s="1678" t="s">
        <v>347</v>
      </c>
      <c r="AA100" s="1679"/>
      <c r="AB100" s="1678" t="s">
        <v>36</v>
      </c>
      <c r="AC100" s="1679"/>
      <c r="AD100" s="1680">
        <v>0.10089999999999999</v>
      </c>
      <c r="AE100" s="1679"/>
      <c r="AF100" s="1682">
        <f t="shared" si="26"/>
        <v>-8030.1417917582403</v>
      </c>
      <c r="AG100" s="1679"/>
      <c r="AH100" s="1673">
        <v>283</v>
      </c>
      <c r="AI100" s="1673"/>
    </row>
    <row r="101" spans="2:35" ht="15">
      <c r="B101" s="1673">
        <v>85</v>
      </c>
      <c r="C101" s="1674" t="s">
        <v>1869</v>
      </c>
      <c r="D101" s="1674" t="s">
        <v>373</v>
      </c>
      <c r="E101" s="1674" t="s">
        <v>1772</v>
      </c>
      <c r="F101" s="1681">
        <v>-184067950.44</v>
      </c>
      <c r="G101" s="1682">
        <f t="shared" si="18"/>
        <v>-64423782.653999992</v>
      </c>
      <c r="H101" s="1681">
        <v>-13989164.233439999</v>
      </c>
      <c r="I101" s="1682">
        <f t="shared" si="19"/>
        <v>4896207.4817039995</v>
      </c>
      <c r="J101" s="1682">
        <f t="shared" si="20"/>
        <v>-73516739.405735999</v>
      </c>
      <c r="K101" s="1683"/>
      <c r="L101" s="1681">
        <v>-184067950.44</v>
      </c>
      <c r="M101" s="1682">
        <f t="shared" si="21"/>
        <v>-38654269.592399999</v>
      </c>
      <c r="N101" s="1681">
        <v>-13989164.233439999</v>
      </c>
      <c r="O101" s="1682">
        <f t="shared" si="22"/>
        <v>2937724.4890223998</v>
      </c>
      <c r="P101" s="1682">
        <f t="shared" si="23"/>
        <v>-49705709.3368176</v>
      </c>
      <c r="Q101" s="1684"/>
      <c r="R101" s="1682">
        <f t="shared" si="24"/>
        <v>-23811030.0689184</v>
      </c>
      <c r="S101" s="1683"/>
      <c r="T101" s="1681">
        <v>0</v>
      </c>
      <c r="U101" s="1683"/>
      <c r="V101" s="1681">
        <v>0</v>
      </c>
      <c r="W101" s="1683"/>
      <c r="X101" s="1682">
        <f t="shared" si="25"/>
        <v>-23811030.0689184</v>
      </c>
      <c r="Y101" s="1677"/>
      <c r="Z101" s="1678" t="s">
        <v>1794</v>
      </c>
      <c r="AA101" s="1679"/>
      <c r="AB101" s="1678" t="s">
        <v>37</v>
      </c>
      <c r="AC101" s="1679"/>
      <c r="AD101" s="1680">
        <v>0</v>
      </c>
      <c r="AE101" s="1679"/>
      <c r="AF101" s="1682">
        <f t="shared" si="26"/>
        <v>0</v>
      </c>
      <c r="AG101" s="1679"/>
      <c r="AH101" s="1673">
        <v>283</v>
      </c>
      <c r="AI101" s="1673"/>
    </row>
    <row r="102" spans="2:35" ht="15">
      <c r="B102" s="1673">
        <v>86</v>
      </c>
      <c r="C102" s="1674" t="s">
        <v>1870</v>
      </c>
      <c r="D102" s="1674" t="s">
        <v>373</v>
      </c>
      <c r="E102" s="1674" t="s">
        <v>1772</v>
      </c>
      <c r="F102" s="1681">
        <v>-34886804.759999998</v>
      </c>
      <c r="G102" s="1682">
        <f t="shared" si="18"/>
        <v>-12210381.665999999</v>
      </c>
      <c r="H102" s="1681">
        <v>-2651397.1617599996</v>
      </c>
      <c r="I102" s="1682">
        <f t="shared" si="19"/>
        <v>927989.00661599974</v>
      </c>
      <c r="J102" s="1682">
        <f t="shared" si="20"/>
        <v>-13933789.821144</v>
      </c>
      <c r="K102" s="1683"/>
      <c r="L102" s="1681">
        <v>-34886804.759999998</v>
      </c>
      <c r="M102" s="1682">
        <f t="shared" si="21"/>
        <v>-7326228.9995999997</v>
      </c>
      <c r="N102" s="1681">
        <v>-2651397.1617599996</v>
      </c>
      <c r="O102" s="1682">
        <f t="shared" si="22"/>
        <v>556793.40396959987</v>
      </c>
      <c r="P102" s="1682">
        <f t="shared" si="23"/>
        <v>-9420832.7573903985</v>
      </c>
      <c r="Q102" s="1684"/>
      <c r="R102" s="1682">
        <f t="shared" si="24"/>
        <v>-4512957.0637536012</v>
      </c>
      <c r="S102" s="1683"/>
      <c r="T102" s="1681">
        <v>0</v>
      </c>
      <c r="U102" s="1683"/>
      <c r="V102" s="1681">
        <v>0</v>
      </c>
      <c r="W102" s="1683"/>
      <c r="X102" s="1682">
        <f t="shared" si="25"/>
        <v>-4512957.0637536012</v>
      </c>
      <c r="Y102" s="1677"/>
      <c r="Z102" s="1678" t="s">
        <v>1794</v>
      </c>
      <c r="AA102" s="1679"/>
      <c r="AB102" s="1678" t="s">
        <v>37</v>
      </c>
      <c r="AC102" s="1679"/>
      <c r="AD102" s="1680">
        <v>0</v>
      </c>
      <c r="AE102" s="1679"/>
      <c r="AF102" s="1682">
        <f t="shared" si="26"/>
        <v>0</v>
      </c>
      <c r="AG102" s="1679"/>
      <c r="AH102" s="1673">
        <v>283</v>
      </c>
      <c r="AI102" s="1673"/>
    </row>
    <row r="103" spans="2:35" ht="15">
      <c r="B103" s="1673">
        <v>87</v>
      </c>
      <c r="C103" s="1674" t="s">
        <v>1871</v>
      </c>
      <c r="D103" s="1674" t="s">
        <v>374</v>
      </c>
      <c r="E103" s="1674" t="s">
        <v>1772</v>
      </c>
      <c r="F103" s="1681">
        <v>-3060224</v>
      </c>
      <c r="G103" s="1682">
        <f t="shared" si="18"/>
        <v>-1071078.3999999999</v>
      </c>
      <c r="H103" s="1681">
        <v>-232577.024</v>
      </c>
      <c r="I103" s="1682">
        <f t="shared" si="19"/>
        <v>81401.958400000003</v>
      </c>
      <c r="J103" s="1682">
        <f t="shared" si="20"/>
        <v>-1222253.4655999998</v>
      </c>
      <c r="K103" s="1683"/>
      <c r="L103" s="1681">
        <v>-3060224</v>
      </c>
      <c r="M103" s="1682">
        <f t="shared" si="21"/>
        <v>-642647.03999999992</v>
      </c>
      <c r="N103" s="1681">
        <v>-232577.024</v>
      </c>
      <c r="O103" s="1682">
        <f t="shared" si="22"/>
        <v>48841.175040000002</v>
      </c>
      <c r="P103" s="1682">
        <f t="shared" si="23"/>
        <v>-826382.88895999989</v>
      </c>
      <c r="Q103" s="1684"/>
      <c r="R103" s="1682">
        <f t="shared" si="24"/>
        <v>-395870.57663999987</v>
      </c>
      <c r="S103" s="1683"/>
      <c r="T103" s="1681">
        <v>0</v>
      </c>
      <c r="U103" s="1683"/>
      <c r="V103" s="1681">
        <v>0</v>
      </c>
      <c r="W103" s="1683"/>
      <c r="X103" s="1682">
        <f t="shared" si="25"/>
        <v>-395870.57663999987</v>
      </c>
      <c r="Y103" s="1677"/>
      <c r="Z103" s="1678" t="s">
        <v>1229</v>
      </c>
      <c r="AA103" s="1679"/>
      <c r="AB103" s="1678" t="s">
        <v>36</v>
      </c>
      <c r="AC103" s="1679"/>
      <c r="AD103" s="1680">
        <v>1</v>
      </c>
      <c r="AE103" s="1679"/>
      <c r="AF103" s="1682">
        <f t="shared" si="26"/>
        <v>-395870.57663999987</v>
      </c>
      <c r="AG103" s="1679"/>
      <c r="AH103" s="1673">
        <v>283</v>
      </c>
      <c r="AI103" s="1673"/>
    </row>
    <row r="104" spans="2:35" ht="15">
      <c r="B104" s="1673">
        <v>88</v>
      </c>
      <c r="C104" s="1674" t="s">
        <v>1872</v>
      </c>
      <c r="D104" s="1674" t="s">
        <v>375</v>
      </c>
      <c r="E104" s="1674" t="s">
        <v>1772</v>
      </c>
      <c r="F104" s="1681">
        <v>-342995</v>
      </c>
      <c r="G104" s="1682">
        <f t="shared" si="18"/>
        <v>-120048.24999999999</v>
      </c>
      <c r="H104" s="1681">
        <v>-26067.62</v>
      </c>
      <c r="I104" s="1682">
        <f t="shared" si="19"/>
        <v>9123.6669999999995</v>
      </c>
      <c r="J104" s="1682">
        <f t="shared" si="20"/>
        <v>-136992.20300000001</v>
      </c>
      <c r="K104" s="1683"/>
      <c r="L104" s="1681">
        <v>-342995</v>
      </c>
      <c r="M104" s="1682">
        <f t="shared" si="21"/>
        <v>-72028.95</v>
      </c>
      <c r="N104" s="1681">
        <v>-26067.62</v>
      </c>
      <c r="O104" s="1682">
        <f t="shared" si="22"/>
        <v>5474.2001999999993</v>
      </c>
      <c r="P104" s="1682">
        <f t="shared" si="23"/>
        <v>-92622.369799999986</v>
      </c>
      <c r="Q104" s="1684"/>
      <c r="R104" s="1682">
        <f t="shared" si="24"/>
        <v>-44369.833200000023</v>
      </c>
      <c r="S104" s="1683"/>
      <c r="T104" s="1681">
        <v>0</v>
      </c>
      <c r="U104" s="1683"/>
      <c r="V104" s="1681">
        <v>0</v>
      </c>
      <c r="W104" s="1683"/>
      <c r="X104" s="1682">
        <f t="shared" si="25"/>
        <v>-44369.833200000023</v>
      </c>
      <c r="Y104" s="1677"/>
      <c r="Z104" s="1678" t="s">
        <v>347</v>
      </c>
      <c r="AA104" s="1679"/>
      <c r="AB104" s="1678" t="s">
        <v>37</v>
      </c>
      <c r="AC104" s="1679"/>
      <c r="AD104" s="1680">
        <v>0</v>
      </c>
      <c r="AE104" s="1679"/>
      <c r="AF104" s="1682">
        <f t="shared" si="26"/>
        <v>0</v>
      </c>
      <c r="AG104" s="1679"/>
      <c r="AH104" s="1673">
        <v>283</v>
      </c>
      <c r="AI104" s="1673"/>
    </row>
    <row r="105" spans="2:35" ht="15">
      <c r="B105" s="1673">
        <v>89</v>
      </c>
      <c r="C105" s="1674" t="s">
        <v>1873</v>
      </c>
      <c r="D105" s="1674" t="s">
        <v>375</v>
      </c>
      <c r="E105" s="1674" t="s">
        <v>1772</v>
      </c>
      <c r="F105" s="1681">
        <v>-63845417.539999999</v>
      </c>
      <c r="G105" s="1682">
        <f t="shared" si="18"/>
        <v>-22345896.138999999</v>
      </c>
      <c r="H105" s="1681">
        <v>-4852251.7330399994</v>
      </c>
      <c r="I105" s="1682">
        <f t="shared" si="19"/>
        <v>1698288.1065639998</v>
      </c>
      <c r="J105" s="1682">
        <f t="shared" si="20"/>
        <v>-25499859.765475996</v>
      </c>
      <c r="K105" s="1683"/>
      <c r="L105" s="1681">
        <v>-63845417.539999999</v>
      </c>
      <c r="M105" s="1682">
        <f t="shared" si="21"/>
        <v>-13407537.6834</v>
      </c>
      <c r="N105" s="1681">
        <v>-4852251.7330399994</v>
      </c>
      <c r="O105" s="1682">
        <f t="shared" si="22"/>
        <v>1018972.8639383998</v>
      </c>
      <c r="P105" s="1682">
        <f t="shared" si="23"/>
        <v>-17240816.5525016</v>
      </c>
      <c r="Q105" s="1684"/>
      <c r="R105" s="1682">
        <f t="shared" si="24"/>
        <v>-8259043.2129743956</v>
      </c>
      <c r="S105" s="1683"/>
      <c r="T105" s="1681">
        <v>0</v>
      </c>
      <c r="U105" s="1683"/>
      <c r="V105" s="1681">
        <v>0</v>
      </c>
      <c r="W105" s="1683"/>
      <c r="X105" s="1682">
        <f t="shared" si="25"/>
        <v>-8259043.2129743956</v>
      </c>
      <c r="Y105" s="1677"/>
      <c r="Z105" s="1678" t="s">
        <v>1774</v>
      </c>
      <c r="AA105" s="1679"/>
      <c r="AB105" s="1678" t="s">
        <v>37</v>
      </c>
      <c r="AC105" s="1679"/>
      <c r="AD105" s="1680">
        <v>0</v>
      </c>
      <c r="AE105" s="1679"/>
      <c r="AF105" s="1682">
        <f t="shared" si="26"/>
        <v>0</v>
      </c>
      <c r="AG105" s="1679"/>
      <c r="AH105" s="1673">
        <v>283</v>
      </c>
      <c r="AI105" s="1673"/>
    </row>
    <row r="106" spans="2:35" ht="15">
      <c r="B106" s="1673">
        <v>90</v>
      </c>
      <c r="C106" s="1674" t="s">
        <v>1874</v>
      </c>
      <c r="D106" s="1674" t="s">
        <v>375</v>
      </c>
      <c r="E106" s="1674" t="s">
        <v>1772</v>
      </c>
      <c r="F106" s="1681">
        <v>-57593938.119999997</v>
      </c>
      <c r="G106" s="1682">
        <f t="shared" si="18"/>
        <v>-20157878.341999996</v>
      </c>
      <c r="H106" s="1681">
        <v>-4377139.2971199993</v>
      </c>
      <c r="I106" s="1682">
        <f t="shared" si="19"/>
        <v>1531998.7539919997</v>
      </c>
      <c r="J106" s="1682">
        <f t="shared" si="20"/>
        <v>-23003018.885127999</v>
      </c>
      <c r="K106" s="1683"/>
      <c r="L106" s="1681">
        <v>-57593938.119999997</v>
      </c>
      <c r="M106" s="1682">
        <f t="shared" si="21"/>
        <v>-12094727.005199999</v>
      </c>
      <c r="N106" s="1681">
        <v>-4377139.2971199993</v>
      </c>
      <c r="O106" s="1682">
        <f t="shared" si="22"/>
        <v>919199.25239519984</v>
      </c>
      <c r="P106" s="1682">
        <f t="shared" si="23"/>
        <v>-15552667.049924798</v>
      </c>
      <c r="Q106" s="1684"/>
      <c r="R106" s="1682">
        <f t="shared" si="24"/>
        <v>-7450351.8352032006</v>
      </c>
      <c r="S106" s="1683"/>
      <c r="T106" s="1681">
        <v>0</v>
      </c>
      <c r="U106" s="1683"/>
      <c r="V106" s="1681">
        <v>0</v>
      </c>
      <c r="W106" s="1683"/>
      <c r="X106" s="1682">
        <f t="shared" si="25"/>
        <v>-7450351.8352032006</v>
      </c>
      <c r="Y106" s="1677"/>
      <c r="Z106" s="1678" t="s">
        <v>1794</v>
      </c>
      <c r="AA106" s="1679"/>
      <c r="AB106" s="1678" t="s">
        <v>37</v>
      </c>
      <c r="AC106" s="1679"/>
      <c r="AD106" s="1680">
        <v>0</v>
      </c>
      <c r="AE106" s="1679"/>
      <c r="AF106" s="1682">
        <f t="shared" si="26"/>
        <v>0</v>
      </c>
      <c r="AG106" s="1679"/>
      <c r="AH106" s="1673">
        <v>283</v>
      </c>
      <c r="AI106" s="1673"/>
    </row>
    <row r="107" spans="2:35" ht="15">
      <c r="B107" s="1673">
        <v>91</v>
      </c>
      <c r="C107" s="1674" t="s">
        <v>1875</v>
      </c>
      <c r="D107" s="1674" t="s">
        <v>375</v>
      </c>
      <c r="E107" s="1674" t="s">
        <v>1772</v>
      </c>
      <c r="F107" s="1681">
        <v>-10512194</v>
      </c>
      <c r="G107" s="1682">
        <f t="shared" si="18"/>
        <v>-3679267.9</v>
      </c>
      <c r="H107" s="1681">
        <v>-798926.74399999995</v>
      </c>
      <c r="I107" s="1682">
        <f t="shared" si="19"/>
        <v>279624.36039999995</v>
      </c>
      <c r="J107" s="1682">
        <f t="shared" si="20"/>
        <v>-4198570.2835999997</v>
      </c>
      <c r="K107" s="1683"/>
      <c r="L107" s="1681">
        <v>-10512194</v>
      </c>
      <c r="M107" s="1682">
        <f t="shared" si="21"/>
        <v>-2207560.7399999998</v>
      </c>
      <c r="N107" s="1681">
        <v>-798926.74399999995</v>
      </c>
      <c r="O107" s="1682">
        <f t="shared" si="22"/>
        <v>167774.61623999997</v>
      </c>
      <c r="P107" s="1682">
        <f t="shared" si="23"/>
        <v>-2838712.8677599998</v>
      </c>
      <c r="Q107" s="1684"/>
      <c r="R107" s="1682">
        <f t="shared" si="24"/>
        <v>-1359857.4158399999</v>
      </c>
      <c r="S107" s="1683"/>
      <c r="T107" s="1681">
        <v>0</v>
      </c>
      <c r="U107" s="1683"/>
      <c r="V107" s="1681">
        <v>0</v>
      </c>
      <c r="W107" s="1683"/>
      <c r="X107" s="1682">
        <f t="shared" si="25"/>
        <v>-1359857.4158399999</v>
      </c>
      <c r="Y107" s="1677"/>
      <c r="Z107" s="1678" t="s">
        <v>1774</v>
      </c>
      <c r="AA107" s="1679"/>
      <c r="AB107" s="1678" t="s">
        <v>37</v>
      </c>
      <c r="AC107" s="1679"/>
      <c r="AD107" s="1680">
        <v>0</v>
      </c>
      <c r="AE107" s="1679"/>
      <c r="AF107" s="1682">
        <f t="shared" si="26"/>
        <v>0</v>
      </c>
      <c r="AG107" s="1679"/>
      <c r="AH107" s="1673">
        <v>283</v>
      </c>
      <c r="AI107" s="1673"/>
    </row>
    <row r="108" spans="2:35" ht="15">
      <c r="B108" s="1673">
        <v>92</v>
      </c>
      <c r="C108" s="1674" t="s">
        <v>1876</v>
      </c>
      <c r="D108" s="1674" t="s">
        <v>375</v>
      </c>
      <c r="E108" s="1674" t="s">
        <v>1772</v>
      </c>
      <c r="F108" s="1681">
        <v>-11180183.609999999</v>
      </c>
      <c r="G108" s="1682">
        <f t="shared" si="18"/>
        <v>-3913064.2634999994</v>
      </c>
      <c r="H108" s="1681">
        <v>-849693.95435999997</v>
      </c>
      <c r="I108" s="1682">
        <f t="shared" si="19"/>
        <v>297392.88402599999</v>
      </c>
      <c r="J108" s="1682">
        <f t="shared" si="20"/>
        <v>-4465365.333833999</v>
      </c>
      <c r="K108" s="1683"/>
      <c r="L108" s="1681">
        <v>-11180183.609999999</v>
      </c>
      <c r="M108" s="1682">
        <f t="shared" si="21"/>
        <v>-2347838.5580999996</v>
      </c>
      <c r="N108" s="1681">
        <v>-849693.95435999997</v>
      </c>
      <c r="O108" s="1682">
        <f t="shared" si="22"/>
        <v>178435.73041559997</v>
      </c>
      <c r="P108" s="1682">
        <f t="shared" si="23"/>
        <v>-3019096.7820443995</v>
      </c>
      <c r="Q108" s="1684"/>
      <c r="R108" s="1682">
        <f t="shared" si="24"/>
        <v>-1446268.5517895995</v>
      </c>
      <c r="S108" s="1683"/>
      <c r="T108" s="1681">
        <v>0</v>
      </c>
      <c r="U108" s="1683"/>
      <c r="V108" s="1681">
        <v>0</v>
      </c>
      <c r="W108" s="1683"/>
      <c r="X108" s="1682">
        <f t="shared" si="25"/>
        <v>-1446268.5517895995</v>
      </c>
      <c r="Y108" s="1677"/>
      <c r="Z108" s="1678" t="s">
        <v>1794</v>
      </c>
      <c r="AA108" s="1679"/>
      <c r="AB108" s="1678" t="s">
        <v>37</v>
      </c>
      <c r="AC108" s="1679"/>
      <c r="AD108" s="1680">
        <v>0</v>
      </c>
      <c r="AE108" s="1679"/>
      <c r="AF108" s="1682">
        <f t="shared" si="26"/>
        <v>0</v>
      </c>
      <c r="AG108" s="1679"/>
      <c r="AH108" s="1673">
        <v>283</v>
      </c>
      <c r="AI108" s="1673"/>
    </row>
    <row r="109" spans="2:35" ht="15">
      <c r="B109" s="1673">
        <v>93</v>
      </c>
      <c r="C109" s="1674" t="s">
        <v>1877</v>
      </c>
      <c r="D109" s="1674" t="s">
        <v>375</v>
      </c>
      <c r="E109" s="1674" t="s">
        <v>1772</v>
      </c>
      <c r="F109" s="1681">
        <v>-190253766.69999999</v>
      </c>
      <c r="G109" s="1682">
        <f t="shared" si="18"/>
        <v>-66588818.344999991</v>
      </c>
      <c r="H109" s="1681">
        <v>-14459286.269199999</v>
      </c>
      <c r="I109" s="1682">
        <f t="shared" si="19"/>
        <v>5060750.194219999</v>
      </c>
      <c r="J109" s="1682">
        <f t="shared" si="20"/>
        <v>-75987354.41997999</v>
      </c>
      <c r="K109" s="1683"/>
      <c r="L109" s="1681">
        <v>-190253766.69999999</v>
      </c>
      <c r="M109" s="1682">
        <f t="shared" si="21"/>
        <v>-39953291.006999999</v>
      </c>
      <c r="N109" s="1681">
        <v>-14459286.269199999</v>
      </c>
      <c r="O109" s="1682">
        <f t="shared" si="22"/>
        <v>3036450.1165319998</v>
      </c>
      <c r="P109" s="1682">
        <f t="shared" si="23"/>
        <v>-51376127.159667999</v>
      </c>
      <c r="Q109" s="1684"/>
      <c r="R109" s="1682">
        <f t="shared" si="24"/>
        <v>-24611227.260311991</v>
      </c>
      <c r="S109" s="1683"/>
      <c r="T109" s="1681">
        <v>0</v>
      </c>
      <c r="U109" s="1683"/>
      <c r="V109" s="1681">
        <v>0</v>
      </c>
      <c r="W109" s="1683"/>
      <c r="X109" s="1682">
        <f t="shared" si="25"/>
        <v>-24611227.260311991</v>
      </c>
      <c r="Y109" s="1677"/>
      <c r="Z109" s="1678" t="s">
        <v>1774</v>
      </c>
      <c r="AA109" s="1679"/>
      <c r="AB109" s="1678" t="s">
        <v>37</v>
      </c>
      <c r="AC109" s="1679"/>
      <c r="AD109" s="1680">
        <v>0</v>
      </c>
      <c r="AE109" s="1679"/>
      <c r="AF109" s="1682">
        <f t="shared" si="26"/>
        <v>0</v>
      </c>
      <c r="AG109" s="1679"/>
      <c r="AH109" s="1673">
        <v>283</v>
      </c>
      <c r="AI109" s="1673"/>
    </row>
    <row r="110" spans="2:35" ht="15">
      <c r="B110" s="1673">
        <v>94</v>
      </c>
      <c r="C110" s="1674" t="s">
        <v>1878</v>
      </c>
      <c r="D110" s="1674" t="s">
        <v>375</v>
      </c>
      <c r="E110" s="1674" t="s">
        <v>1772</v>
      </c>
      <c r="F110" s="1681">
        <v>-1247198.99</v>
      </c>
      <c r="G110" s="1682">
        <f t="shared" si="18"/>
        <v>-436519.64649999997</v>
      </c>
      <c r="H110" s="1681">
        <v>-94787.123240000001</v>
      </c>
      <c r="I110" s="1682">
        <f t="shared" si="19"/>
        <v>33175.493133999997</v>
      </c>
      <c r="J110" s="1682">
        <f t="shared" si="20"/>
        <v>-498131.27660600003</v>
      </c>
      <c r="K110" s="1683"/>
      <c r="L110" s="1681">
        <v>-1247198.99</v>
      </c>
      <c r="M110" s="1682">
        <f t="shared" si="21"/>
        <v>-261911.7879</v>
      </c>
      <c r="N110" s="1681">
        <v>-94787.123240000001</v>
      </c>
      <c r="O110" s="1682">
        <f t="shared" si="22"/>
        <v>19905.295880400001</v>
      </c>
      <c r="P110" s="1682">
        <f t="shared" si="23"/>
        <v>-336793.61525959999</v>
      </c>
      <c r="Q110" s="1684"/>
      <c r="R110" s="1682">
        <f t="shared" si="24"/>
        <v>-161337.66134640004</v>
      </c>
      <c r="S110" s="1683"/>
      <c r="T110" s="1681">
        <v>0</v>
      </c>
      <c r="U110" s="1683"/>
      <c r="V110" s="1681">
        <v>0</v>
      </c>
      <c r="W110" s="1683"/>
      <c r="X110" s="1682">
        <f t="shared" si="25"/>
        <v>-161337.66134640004</v>
      </c>
      <c r="Y110" s="1677"/>
      <c r="Z110" s="1678" t="s">
        <v>1794</v>
      </c>
      <c r="AA110" s="1679"/>
      <c r="AB110" s="1678" t="s">
        <v>37</v>
      </c>
      <c r="AC110" s="1679"/>
      <c r="AD110" s="1680">
        <v>0</v>
      </c>
      <c r="AE110" s="1679"/>
      <c r="AF110" s="1682">
        <f t="shared" si="26"/>
        <v>0</v>
      </c>
      <c r="AG110" s="1679"/>
      <c r="AH110" s="1673">
        <v>283</v>
      </c>
      <c r="AI110" s="1673"/>
    </row>
    <row r="111" spans="2:35" ht="15">
      <c r="B111" s="1673">
        <v>95</v>
      </c>
      <c r="C111" s="1674" t="s">
        <v>1879</v>
      </c>
      <c r="D111" s="1674" t="s">
        <v>375</v>
      </c>
      <c r="E111" s="1674" t="s">
        <v>1772</v>
      </c>
      <c r="F111" s="1681">
        <v>-34604375.5</v>
      </c>
      <c r="G111" s="1682">
        <f t="shared" si="18"/>
        <v>-12111531.424999999</v>
      </c>
      <c r="H111" s="1681">
        <v>-2629932.5379999997</v>
      </c>
      <c r="I111" s="1682">
        <f t="shared" si="19"/>
        <v>920476.38829999988</v>
      </c>
      <c r="J111" s="1682">
        <f t="shared" si="20"/>
        <v>-13820987.5747</v>
      </c>
      <c r="K111" s="1683"/>
      <c r="L111" s="1681">
        <v>-34604375.5</v>
      </c>
      <c r="M111" s="1682">
        <f t="shared" si="21"/>
        <v>-7266918.8549999995</v>
      </c>
      <c r="N111" s="1681">
        <v>-2629932.5379999997</v>
      </c>
      <c r="O111" s="1682">
        <f t="shared" si="22"/>
        <v>552285.83297999995</v>
      </c>
      <c r="P111" s="1682">
        <f t="shared" si="23"/>
        <v>-9344565.5600199997</v>
      </c>
      <c r="Q111" s="1684"/>
      <c r="R111" s="1682">
        <f t="shared" si="24"/>
        <v>-4476422.01468</v>
      </c>
      <c r="S111" s="1683"/>
      <c r="T111" s="1681">
        <v>0</v>
      </c>
      <c r="U111" s="1683"/>
      <c r="V111" s="1681">
        <v>0</v>
      </c>
      <c r="W111" s="1683"/>
      <c r="X111" s="1682">
        <f t="shared" si="25"/>
        <v>-4476422.01468</v>
      </c>
      <c r="Y111" s="1677"/>
      <c r="Z111" s="1678" t="s">
        <v>347</v>
      </c>
      <c r="AA111" s="1679"/>
      <c r="AB111" s="1678" t="s">
        <v>36</v>
      </c>
      <c r="AC111" s="1679"/>
      <c r="AD111" s="1680">
        <v>0.10089999999999999</v>
      </c>
      <c r="AE111" s="1679"/>
      <c r="AF111" s="1682">
        <f t="shared" si="26"/>
        <v>-451670.98128121195</v>
      </c>
      <c r="AG111" s="1679"/>
      <c r="AH111" s="1673">
        <v>283</v>
      </c>
      <c r="AI111" s="1673"/>
    </row>
    <row r="112" spans="2:35" ht="15">
      <c r="B112" s="1673">
        <v>96</v>
      </c>
      <c r="C112" s="1674" t="s">
        <v>1880</v>
      </c>
      <c r="D112" s="1674" t="s">
        <v>375</v>
      </c>
      <c r="E112" s="1674" t="s">
        <v>1772</v>
      </c>
      <c r="F112" s="1681">
        <v>-2434560.29</v>
      </c>
      <c r="G112" s="1682">
        <f t="shared" si="18"/>
        <v>-852096.10149999999</v>
      </c>
      <c r="H112" s="1681">
        <v>-185026.58204000001</v>
      </c>
      <c r="I112" s="1682">
        <f t="shared" si="19"/>
        <v>64759.303714000001</v>
      </c>
      <c r="J112" s="1682">
        <f t="shared" si="20"/>
        <v>-972363.37982599996</v>
      </c>
      <c r="K112" s="1683"/>
      <c r="L112" s="1681">
        <v>-2434560.29</v>
      </c>
      <c r="M112" s="1682">
        <f t="shared" si="21"/>
        <v>-511257.66090000002</v>
      </c>
      <c r="N112" s="1681">
        <v>-185026.58204000001</v>
      </c>
      <c r="O112" s="1682">
        <f t="shared" si="22"/>
        <v>38855.582228400002</v>
      </c>
      <c r="P112" s="1682">
        <f t="shared" si="23"/>
        <v>-657428.66071159998</v>
      </c>
      <c r="Q112" s="1684"/>
      <c r="R112" s="1682">
        <f t="shared" si="24"/>
        <v>-314934.71911439998</v>
      </c>
      <c r="S112" s="1683"/>
      <c r="T112" s="1681">
        <v>0</v>
      </c>
      <c r="U112" s="1683"/>
      <c r="V112" s="1681">
        <v>0</v>
      </c>
      <c r="W112" s="1683"/>
      <c r="X112" s="1682">
        <f t="shared" si="25"/>
        <v>-314934.71911439998</v>
      </c>
      <c r="Y112" s="1677"/>
      <c r="Z112" s="1678" t="s">
        <v>1774</v>
      </c>
      <c r="AA112" s="1679"/>
      <c r="AB112" s="1678" t="s">
        <v>37</v>
      </c>
      <c r="AC112" s="1679"/>
      <c r="AD112" s="1680">
        <v>0</v>
      </c>
      <c r="AE112" s="1679"/>
      <c r="AF112" s="1682">
        <f t="shared" si="26"/>
        <v>0</v>
      </c>
      <c r="AG112" s="1679"/>
      <c r="AH112" s="1673">
        <v>283</v>
      </c>
      <c r="AI112" s="1673"/>
    </row>
    <row r="113" spans="2:35" ht="15">
      <c r="B113" s="1673">
        <v>97</v>
      </c>
      <c r="C113" s="1674" t="s">
        <v>1881</v>
      </c>
      <c r="D113" s="1674" t="s">
        <v>375</v>
      </c>
      <c r="E113" s="1674" t="s">
        <v>1772</v>
      </c>
      <c r="F113" s="1681">
        <v>-69912828.629999995</v>
      </c>
      <c r="G113" s="1682">
        <f t="shared" si="18"/>
        <v>-24469490.020499997</v>
      </c>
      <c r="H113" s="1681">
        <v>-5313374.9758799998</v>
      </c>
      <c r="I113" s="1682">
        <f t="shared" si="19"/>
        <v>1859681.2415579997</v>
      </c>
      <c r="J113" s="1682">
        <f t="shared" si="20"/>
        <v>-27923183.754821997</v>
      </c>
      <c r="K113" s="1683"/>
      <c r="L113" s="1681">
        <v>-69912828.629999995</v>
      </c>
      <c r="M113" s="1682">
        <f t="shared" si="21"/>
        <v>-14681694.012299998</v>
      </c>
      <c r="N113" s="1681">
        <v>-5313374.9758799998</v>
      </c>
      <c r="O113" s="1682">
        <f t="shared" si="22"/>
        <v>1115808.7449347998</v>
      </c>
      <c r="P113" s="1682">
        <f t="shared" si="23"/>
        <v>-18879260.243245196</v>
      </c>
      <c r="Q113" s="1684"/>
      <c r="R113" s="1682">
        <f t="shared" si="24"/>
        <v>-9043923.5115768015</v>
      </c>
      <c r="S113" s="1683"/>
      <c r="T113" s="1681">
        <v>0</v>
      </c>
      <c r="U113" s="1683"/>
      <c r="V113" s="1681">
        <v>0</v>
      </c>
      <c r="W113" s="1683"/>
      <c r="X113" s="1682">
        <f t="shared" si="25"/>
        <v>-9043923.5115768015</v>
      </c>
      <c r="Y113" s="1677"/>
      <c r="Z113" s="1678" t="s">
        <v>1794</v>
      </c>
      <c r="AA113" s="1679"/>
      <c r="AB113" s="1678" t="s">
        <v>37</v>
      </c>
      <c r="AC113" s="1679"/>
      <c r="AD113" s="1680">
        <v>0</v>
      </c>
      <c r="AE113" s="1679"/>
      <c r="AF113" s="1682">
        <f t="shared" si="26"/>
        <v>0</v>
      </c>
      <c r="AG113" s="1679"/>
      <c r="AH113" s="1673">
        <v>283</v>
      </c>
      <c r="AI113" s="1673"/>
    </row>
    <row r="114" spans="2:35" ht="15">
      <c r="B114" s="1673">
        <v>98</v>
      </c>
      <c r="C114" s="1674" t="s">
        <v>1882</v>
      </c>
      <c r="D114" s="1674" t="s">
        <v>375</v>
      </c>
      <c r="E114" s="1674" t="s">
        <v>1772</v>
      </c>
      <c r="F114" s="1681">
        <v>-440137.28</v>
      </c>
      <c r="G114" s="1682">
        <f t="shared" si="18"/>
        <v>-154048.04800000001</v>
      </c>
      <c r="H114" s="1681">
        <v>-33450.433280000005</v>
      </c>
      <c r="I114" s="1682">
        <f t="shared" si="19"/>
        <v>11707.651648000001</v>
      </c>
      <c r="J114" s="1682">
        <f t="shared" si="20"/>
        <v>-175790.82963200001</v>
      </c>
      <c r="K114" s="1683"/>
      <c r="L114" s="1681">
        <v>-440137.28</v>
      </c>
      <c r="M114" s="1682">
        <f t="shared" si="21"/>
        <v>-92428.828800000003</v>
      </c>
      <c r="N114" s="1681">
        <v>-33450.433280000005</v>
      </c>
      <c r="O114" s="1682">
        <f t="shared" si="22"/>
        <v>7024.5909888000006</v>
      </c>
      <c r="P114" s="1682">
        <f t="shared" si="23"/>
        <v>-118854.67109120001</v>
      </c>
      <c r="Q114" s="1684"/>
      <c r="R114" s="1682">
        <f t="shared" si="24"/>
        <v>-56936.158540799996</v>
      </c>
      <c r="S114" s="1683"/>
      <c r="T114" s="1681">
        <v>0</v>
      </c>
      <c r="U114" s="1683"/>
      <c r="V114" s="1681">
        <v>0</v>
      </c>
      <c r="W114" s="1683"/>
      <c r="X114" s="1682">
        <f t="shared" si="25"/>
        <v>-56936.158540799996</v>
      </c>
      <c r="Y114" s="1677"/>
      <c r="Z114" s="1678" t="s">
        <v>1774</v>
      </c>
      <c r="AA114" s="1679"/>
      <c r="AB114" s="1678" t="s">
        <v>37</v>
      </c>
      <c r="AC114" s="1679"/>
      <c r="AD114" s="1680">
        <v>0</v>
      </c>
      <c r="AE114" s="1679"/>
      <c r="AF114" s="1682">
        <f t="shared" si="26"/>
        <v>0</v>
      </c>
      <c r="AG114" s="1679"/>
      <c r="AH114" s="1673">
        <v>283</v>
      </c>
      <c r="AI114" s="1673"/>
    </row>
    <row r="115" spans="2:35" ht="15">
      <c r="B115" s="1673">
        <v>99</v>
      </c>
      <c r="C115" s="1674" t="s">
        <v>1883</v>
      </c>
      <c r="D115" s="1674" t="s">
        <v>376</v>
      </c>
      <c r="E115" s="1674" t="s">
        <v>1772</v>
      </c>
      <c r="F115" s="1681">
        <v>-329586333.88999999</v>
      </c>
      <c r="G115" s="1682">
        <f t="shared" si="18"/>
        <v>-115355216.86149999</v>
      </c>
      <c r="H115" s="1681">
        <v>-25048561.375639997</v>
      </c>
      <c r="I115" s="1682">
        <f t="shared" si="19"/>
        <v>8766996.4814739991</v>
      </c>
      <c r="J115" s="1682">
        <f t="shared" si="20"/>
        <v>-131636781.755666</v>
      </c>
      <c r="K115" s="1683"/>
      <c r="L115" s="1681">
        <v>-329586333.88999999</v>
      </c>
      <c r="M115" s="1682">
        <f t="shared" si="21"/>
        <v>-69213130.116899997</v>
      </c>
      <c r="N115" s="1681">
        <v>-25048561.375639997</v>
      </c>
      <c r="O115" s="1682">
        <f t="shared" si="22"/>
        <v>5260197.8888843991</v>
      </c>
      <c r="P115" s="1682">
        <f t="shared" si="23"/>
        <v>-89001493.603655607</v>
      </c>
      <c r="Q115" s="1684"/>
      <c r="R115" s="1682">
        <f t="shared" si="24"/>
        <v>-42635288.152010396</v>
      </c>
      <c r="S115" s="1683"/>
      <c r="T115" s="1681">
        <v>0</v>
      </c>
      <c r="U115" s="1683"/>
      <c r="V115" s="1681">
        <v>0</v>
      </c>
      <c r="W115" s="1683"/>
      <c r="X115" s="1682">
        <f t="shared" si="25"/>
        <v>-42635288.152010396</v>
      </c>
      <c r="Y115" s="1677"/>
      <c r="Z115" s="1678" t="s">
        <v>347</v>
      </c>
      <c r="AA115" s="1679"/>
      <c r="AB115" s="1678" t="s">
        <v>36</v>
      </c>
      <c r="AC115" s="1679"/>
      <c r="AD115" s="1680">
        <v>0.10089999999999999</v>
      </c>
      <c r="AE115" s="1679"/>
      <c r="AF115" s="1682">
        <f t="shared" si="26"/>
        <v>-4301900.5745378481</v>
      </c>
      <c r="AG115" s="1679"/>
      <c r="AH115" s="1673">
        <v>283</v>
      </c>
      <c r="AI115" s="1673"/>
    </row>
    <row r="116" spans="2:35" ht="15">
      <c r="B116" s="1673">
        <v>100</v>
      </c>
      <c r="C116" s="1685" t="s">
        <v>1884</v>
      </c>
      <c r="D116" s="1678"/>
      <c r="E116" s="1678"/>
      <c r="F116" s="1686">
        <f>SUM(F95:F115)</f>
        <v>-1036663459.7199999</v>
      </c>
      <c r="G116" s="1686">
        <f>SUM(G95:G115)</f>
        <v>-362832210.90200001</v>
      </c>
      <c r="H116" s="1686">
        <f>SUM(H95:H115)</f>
        <v>-78786422.938719988</v>
      </c>
      <c r="I116" s="1686">
        <f>SUM(I95:I115)</f>
        <v>27575248.028551996</v>
      </c>
      <c r="J116" s="1686">
        <f>SUM(J95:J115)</f>
        <v>-414043385.81216794</v>
      </c>
      <c r="K116" s="1677"/>
      <c r="L116" s="1686">
        <f>SUM(L95:L115)</f>
        <v>-1036663459.7199999</v>
      </c>
      <c r="M116" s="1686">
        <f>SUM(M95:M115)</f>
        <v>-217699326.54119998</v>
      </c>
      <c r="N116" s="1686">
        <f>SUM(N95:N115)</f>
        <v>-78786422.938719988</v>
      </c>
      <c r="O116" s="1686">
        <f>SUM(O95:O115)</f>
        <v>16545148.817131197</v>
      </c>
      <c r="P116" s="1686">
        <f>SUM(P95:P115)</f>
        <v>-279940600.66278875</v>
      </c>
      <c r="R116" s="1686">
        <f>SUM(R95:R115)</f>
        <v>-134102785.14937918</v>
      </c>
      <c r="S116" s="1677"/>
      <c r="T116" s="1686">
        <f>SUM(T95:T115)</f>
        <v>0</v>
      </c>
      <c r="U116" s="1677"/>
      <c r="V116" s="1686">
        <f>SUM(V95:V115)</f>
        <v>0</v>
      </c>
      <c r="W116" s="1677"/>
      <c r="X116" s="1686">
        <f>SUM(X95:X115)</f>
        <v>-134102785.14937918</v>
      </c>
      <c r="Y116" s="1677"/>
      <c r="Z116" s="1678"/>
      <c r="AA116" s="1679"/>
      <c r="AB116" s="1678"/>
      <c r="AC116" s="1679"/>
      <c r="AD116" s="1679"/>
      <c r="AE116" s="1679"/>
      <c r="AF116" s="1686">
        <f>SUM(AF95:AF115)</f>
        <v>-5706709.5142091112</v>
      </c>
      <c r="AG116" s="1679"/>
      <c r="AH116" s="1673"/>
      <c r="AI116" s="1673"/>
    </row>
    <row r="117" spans="2:35" ht="15">
      <c r="B117" s="1673"/>
      <c r="D117" s="1687"/>
      <c r="F117" s="1676"/>
      <c r="G117" s="1676"/>
      <c r="H117" s="1676"/>
      <c r="I117" s="1676"/>
      <c r="J117" s="1676"/>
      <c r="K117" s="1679"/>
      <c r="P117" s="1676"/>
      <c r="R117" s="1676"/>
      <c r="S117" s="1679"/>
      <c r="T117" s="1676"/>
      <c r="U117" s="1679"/>
      <c r="V117" s="1676"/>
      <c r="W117" s="1679"/>
      <c r="X117" s="1676"/>
      <c r="Y117" s="1679"/>
      <c r="AA117" s="1679"/>
      <c r="AC117" s="1679"/>
      <c r="AD117" s="1679"/>
      <c r="AE117" s="1679"/>
      <c r="AF117" s="1676"/>
      <c r="AG117" s="1679"/>
      <c r="AH117" s="1688"/>
      <c r="AI117" s="1688"/>
    </row>
    <row r="118" spans="2:35" ht="15.75" thickBot="1">
      <c r="B118" s="1673">
        <v>101</v>
      </c>
      <c r="C118" s="1685" t="s">
        <v>1885</v>
      </c>
      <c r="D118" s="1687"/>
      <c r="E118" s="1689"/>
      <c r="F118" s="1690">
        <f>F72+F92+F116</f>
        <v>-5284777245.6403494</v>
      </c>
      <c r="G118" s="1690">
        <f>G72+G92+G116</f>
        <v>-1849672035.974122</v>
      </c>
      <c r="H118" s="1690">
        <f>H72+H92+H116</f>
        <v>-267996734.67178869</v>
      </c>
      <c r="I118" s="1690">
        <f>I72+I92+I116</f>
        <v>93798857.135126054</v>
      </c>
      <c r="J118" s="1690">
        <f>J72+J92+J116</f>
        <v>-2023869913.5107849</v>
      </c>
      <c r="K118" s="1679"/>
      <c r="L118" s="1690">
        <f>L72+L92+L116</f>
        <v>-4311014896.0905018</v>
      </c>
      <c r="M118" s="1690">
        <f>M72+M92+M116</f>
        <v>-905313128.17900515</v>
      </c>
      <c r="N118" s="1690">
        <f>N72+N92+N116</f>
        <v>-193990796.1060003</v>
      </c>
      <c r="O118" s="1690">
        <f>O72+O92+O116</f>
        <v>40738067.182260051</v>
      </c>
      <c r="P118" s="1690">
        <f>P72+P92+P116</f>
        <v>-1058565857.1027457</v>
      </c>
      <c r="R118" s="1690">
        <f>R72+R92+R116</f>
        <v>-965304056.40803909</v>
      </c>
      <c r="S118" s="1679"/>
      <c r="T118" s="1690">
        <f>T72+T92+T116</f>
        <v>8458293.1418080255</v>
      </c>
      <c r="U118" s="1679"/>
      <c r="V118" s="1690">
        <f>V72+V92+V116</f>
        <v>-322393958.26902413</v>
      </c>
      <c r="W118" s="1679"/>
      <c r="X118" s="1690">
        <f>X72+X92+X116</f>
        <v>-651368391.28082287</v>
      </c>
      <c r="Y118" s="1679"/>
      <c r="Z118" s="1689"/>
      <c r="AA118" s="1679"/>
      <c r="AB118" s="1689"/>
      <c r="AC118" s="1679"/>
      <c r="AD118" s="1679"/>
      <c r="AE118" s="1679"/>
      <c r="AF118" s="1690">
        <f>AF72+AF92+AF116</f>
        <v>-105599257.90314858</v>
      </c>
      <c r="AG118" s="1679"/>
      <c r="AH118" s="1688"/>
      <c r="AI118" s="1688"/>
    </row>
    <row r="119" spans="2:35" ht="15.75" customHeight="1" thickTop="1">
      <c r="F119" s="1676"/>
      <c r="G119" s="1676"/>
      <c r="H119" s="1676"/>
      <c r="I119" s="1676"/>
    </row>
    <row r="120" spans="2:35" ht="15.75" customHeight="1">
      <c r="F120" s="1676"/>
      <c r="G120" s="1676"/>
      <c r="H120" s="1676"/>
      <c r="I120" s="1676"/>
    </row>
    <row r="121" spans="2:35" ht="14.25">
      <c r="F121" s="1676"/>
      <c r="G121" s="1676"/>
      <c r="H121" s="1676"/>
      <c r="I121" s="1676"/>
      <c r="V121" s="1691" t="s">
        <v>1696</v>
      </c>
      <c r="X121" s="1692">
        <f>SUMIF($E:$E,$V$121,X:X)</f>
        <v>-317879734.83290344</v>
      </c>
      <c r="AF121" s="1692">
        <f>SUMIF($E:$E,$V$121,AF:AF)</f>
        <v>-55056770.073058888</v>
      </c>
    </row>
    <row r="122" spans="2:35" ht="15.75" customHeight="1">
      <c r="B122" s="1689"/>
      <c r="V122" s="1693"/>
      <c r="X122" s="1694"/>
      <c r="AF122" s="1694"/>
    </row>
    <row r="123" spans="2:35" ht="14.25">
      <c r="V123" s="1691" t="s">
        <v>1694</v>
      </c>
      <c r="X123" s="1694">
        <f>SUMIF($E:$E,$V$123,X:X)</f>
        <v>-244793683.69822931</v>
      </c>
      <c r="AF123" s="1694">
        <f>SUMIF($E:$E,$V$123,AF:AF)</f>
        <v>-46126850.647198208</v>
      </c>
    </row>
    <row r="124" spans="2:35" ht="15.75" customHeight="1">
      <c r="V124" s="1691" t="s">
        <v>1772</v>
      </c>
      <c r="X124" s="1694">
        <f>SUMIF($E:$E,$V$124,X:X)</f>
        <v>-88694972.749690294</v>
      </c>
      <c r="AF124" s="1694">
        <f>SUMIF($E:$E,$V$124,AF:AF)</f>
        <v>-4415637.1828915067</v>
      </c>
    </row>
    <row r="125" spans="2:35" ht="5.0999999999999996" customHeight="1">
      <c r="V125" s="1199"/>
      <c r="X125" s="1694"/>
      <c r="AF125" s="1694"/>
    </row>
    <row r="126" spans="2:35" ht="15.75" customHeight="1">
      <c r="V126" s="1695" t="s">
        <v>1886</v>
      </c>
      <c r="X126" s="1696">
        <f>SUM(X123:X125)</f>
        <v>-333488656.44791961</v>
      </c>
      <c r="AF126" s="1696">
        <f>SUM(AF123:AF125)</f>
        <v>-50542487.830089718</v>
      </c>
    </row>
    <row r="127" spans="2:35" ht="14.25">
      <c r="V127" s="1693"/>
      <c r="X127" s="1694"/>
      <c r="AF127" s="1694"/>
    </row>
    <row r="128" spans="2:35" ht="15.75" customHeight="1" thickBot="1">
      <c r="B128" s="1697"/>
      <c r="V128" s="1695" t="s">
        <v>1887</v>
      </c>
      <c r="X128" s="1698">
        <f>X121+X126</f>
        <v>-651368391.28082299</v>
      </c>
      <c r="AF128" s="1698">
        <f>AF121+AF126</f>
        <v>-105599257.90314861</v>
      </c>
    </row>
    <row r="129" spans="1:35" ht="15.75" customHeight="1" thickTop="1">
      <c r="B129" s="1697"/>
      <c r="V129" s="1695"/>
      <c r="X129" s="1682"/>
      <c r="AF129" s="1682"/>
    </row>
    <row r="130" spans="1:35" ht="15.75" customHeight="1">
      <c r="A130" s="1105"/>
      <c r="B130" s="1105" t="s">
        <v>1721</v>
      </c>
      <c r="C130" s="1105"/>
      <c r="D130" s="1105"/>
      <c r="E130" s="1105"/>
      <c r="F130" s="1105"/>
      <c r="G130" s="1105"/>
      <c r="H130" s="1105"/>
      <c r="I130" s="1105"/>
      <c r="J130" s="1105"/>
      <c r="K130" s="1105"/>
      <c r="L130" s="1105"/>
      <c r="M130" s="1105"/>
      <c r="N130" s="1105"/>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row>
    <row r="131" spans="1:35">
      <c r="B131" s="1699"/>
      <c r="C131" s="1699"/>
      <c r="D131" s="1699"/>
      <c r="Z131" s="1656"/>
      <c r="AB131" s="1656"/>
      <c r="AH131" s="1656"/>
      <c r="AI131" s="1656"/>
    </row>
    <row r="132" spans="1:35" ht="15.75" customHeight="1">
      <c r="B132" s="1898" t="s">
        <v>1888</v>
      </c>
      <c r="C132" s="1898"/>
      <c r="D132" s="1898"/>
      <c r="V132" s="1700"/>
      <c r="X132" s="1701"/>
      <c r="AF132" s="1701"/>
      <c r="AH132" s="1656"/>
      <c r="AI132" s="1658"/>
    </row>
    <row r="133" spans="1:35" ht="15.75" customHeight="1">
      <c r="B133" s="1898"/>
      <c r="C133" s="1898"/>
      <c r="D133" s="1898"/>
      <c r="V133" s="1700"/>
      <c r="X133" s="1701"/>
      <c r="AF133" s="1701"/>
      <c r="AH133" s="1656"/>
      <c r="AI133" s="1658"/>
    </row>
    <row r="134" spans="1:35" ht="15.75" customHeight="1">
      <c r="B134" s="1898"/>
      <c r="C134" s="1898"/>
      <c r="D134" s="1898"/>
      <c r="V134" s="1700"/>
      <c r="X134" s="1701"/>
      <c r="AF134" s="1701"/>
      <c r="AH134" s="1656"/>
      <c r="AI134" s="1658"/>
    </row>
    <row r="135" spans="1:35" ht="15.75" customHeight="1">
      <c r="B135" s="1898"/>
      <c r="C135" s="1898"/>
      <c r="D135" s="1898"/>
      <c r="V135" s="1700"/>
      <c r="X135" s="1701"/>
      <c r="AF135" s="1701"/>
      <c r="AH135" s="1656"/>
      <c r="AI135" s="1658"/>
    </row>
    <row r="136" spans="1:35" ht="15.75" customHeight="1">
      <c r="B136" s="1898"/>
      <c r="C136" s="1898"/>
      <c r="D136" s="1898"/>
      <c r="V136" s="1700"/>
      <c r="X136" s="1701"/>
      <c r="AF136" s="1701"/>
      <c r="AH136" s="1656"/>
      <c r="AI136" s="1658"/>
    </row>
    <row r="137" spans="1:35" ht="15.75" customHeight="1">
      <c r="B137" s="1898"/>
      <c r="C137" s="1898"/>
      <c r="D137" s="1898"/>
      <c r="V137" s="1700"/>
      <c r="X137" s="1701"/>
      <c r="AF137" s="1701"/>
      <c r="AH137" s="1656"/>
      <c r="AI137" s="1658"/>
    </row>
    <row r="138" spans="1:35" ht="15.75" customHeight="1">
      <c r="B138" s="1898"/>
      <c r="C138" s="1898"/>
      <c r="D138" s="1898"/>
      <c r="V138" s="1700"/>
      <c r="X138" s="1701"/>
      <c r="AF138" s="1701"/>
      <c r="AH138" s="1656"/>
      <c r="AI138" s="1658"/>
    </row>
    <row r="139" spans="1:35" ht="15.75" customHeight="1">
      <c r="B139" s="1898"/>
      <c r="C139" s="1898"/>
      <c r="D139" s="1898"/>
      <c r="V139" s="1700"/>
      <c r="X139" s="1701"/>
      <c r="AF139" s="1701"/>
      <c r="AH139" s="1656"/>
      <c r="AI139" s="1658"/>
    </row>
    <row r="140" spans="1:35" ht="15.75" customHeight="1">
      <c r="B140" s="1898"/>
      <c r="C140" s="1898"/>
      <c r="D140" s="1898"/>
      <c r="V140" s="1700"/>
      <c r="X140" s="1701"/>
      <c r="AF140" s="1701"/>
      <c r="AH140" s="1656"/>
      <c r="AI140" s="1658"/>
    </row>
    <row r="141" spans="1:35" ht="15.75" customHeight="1">
      <c r="B141" s="1898"/>
      <c r="C141" s="1898"/>
      <c r="D141" s="1898"/>
      <c r="V141" s="1700"/>
      <c r="X141" s="1701"/>
      <c r="AF141" s="1701"/>
      <c r="AH141" s="1656"/>
      <c r="AI141" s="1658"/>
    </row>
    <row r="142" spans="1:35" ht="15.75" customHeight="1">
      <c r="B142" s="1898"/>
      <c r="C142" s="1898"/>
      <c r="D142" s="1898"/>
      <c r="V142" s="1700"/>
      <c r="X142" s="1701"/>
      <c r="AF142" s="1701"/>
      <c r="AH142" s="1656"/>
      <c r="AI142" s="1658"/>
    </row>
    <row r="143" spans="1:35" ht="12.75" customHeight="1">
      <c r="B143" s="1882" t="s">
        <v>1889</v>
      </c>
      <c r="C143" s="1882"/>
      <c r="D143" s="1882"/>
      <c r="E143" s="1702"/>
      <c r="F143" s="1702"/>
      <c r="G143" s="1702"/>
      <c r="H143" s="1702"/>
      <c r="I143" s="1702"/>
      <c r="J143" s="1702"/>
      <c r="K143" s="1702"/>
      <c r="L143" s="1702"/>
      <c r="M143" s="1702"/>
      <c r="N143" s="1702"/>
      <c r="O143" s="1702"/>
      <c r="Z143" s="1656"/>
      <c r="AB143" s="1656"/>
      <c r="AH143" s="1656"/>
      <c r="AI143" s="1656"/>
    </row>
    <row r="144" spans="1:35">
      <c r="B144" s="1882"/>
      <c r="C144" s="1882"/>
      <c r="D144" s="1882"/>
      <c r="E144" s="1702"/>
      <c r="F144" s="1702"/>
      <c r="G144" s="1702"/>
      <c r="H144" s="1702"/>
      <c r="I144" s="1702"/>
      <c r="J144" s="1702"/>
      <c r="K144" s="1702"/>
      <c r="L144" s="1702"/>
      <c r="M144" s="1702"/>
      <c r="N144" s="1702"/>
      <c r="O144" s="1702"/>
    </row>
    <row r="145" spans="1:35">
      <c r="B145" s="1882"/>
      <c r="C145" s="1882"/>
      <c r="D145" s="1882"/>
      <c r="E145" s="1702"/>
      <c r="F145" s="1702"/>
      <c r="G145" s="1702"/>
      <c r="H145" s="1702"/>
      <c r="I145" s="1702"/>
      <c r="J145" s="1702"/>
      <c r="K145" s="1702"/>
      <c r="L145" s="1702"/>
      <c r="M145" s="1702"/>
      <c r="N145" s="1702"/>
      <c r="O145" s="1702"/>
    </row>
    <row r="146" spans="1:35" ht="12.75" customHeight="1">
      <c r="B146" s="1882" t="s">
        <v>1890</v>
      </c>
      <c r="C146" s="1882"/>
      <c r="D146" s="1882"/>
      <c r="E146" s="1702"/>
      <c r="F146" s="1702"/>
      <c r="G146" s="1702"/>
      <c r="H146" s="1702"/>
      <c r="I146" s="1702"/>
      <c r="J146" s="1702"/>
      <c r="K146" s="1702"/>
      <c r="L146" s="1702"/>
      <c r="M146" s="1702"/>
      <c r="N146" s="1702"/>
      <c r="O146" s="1702"/>
    </row>
    <row r="147" spans="1:35">
      <c r="B147" s="1882"/>
      <c r="C147" s="1882"/>
      <c r="D147" s="1882"/>
      <c r="E147" s="1702"/>
      <c r="F147" s="1702"/>
      <c r="G147" s="1702"/>
      <c r="H147" s="1702"/>
      <c r="I147" s="1702"/>
      <c r="J147" s="1702"/>
      <c r="K147" s="1702"/>
      <c r="L147" s="1702"/>
      <c r="M147" s="1702"/>
      <c r="N147" s="1702"/>
      <c r="O147" s="1702"/>
    </row>
    <row r="148" spans="1:35">
      <c r="B148" s="1699"/>
      <c r="C148" s="1699"/>
      <c r="D148" s="1699"/>
    </row>
    <row r="149" spans="1:35" ht="15.75" customHeight="1">
      <c r="A149" s="1105"/>
      <c r="B149" s="1105" t="s">
        <v>1054</v>
      </c>
      <c r="C149" s="1105"/>
      <c r="D149" s="1105"/>
      <c r="E149" s="1105"/>
      <c r="F149" s="1105"/>
      <c r="G149" s="1105"/>
      <c r="H149" s="1105"/>
      <c r="I149" s="1105"/>
      <c r="J149" s="1105"/>
      <c r="K149" s="1105"/>
      <c r="L149" s="1105"/>
      <c r="M149" s="1105"/>
      <c r="N149" s="1105"/>
      <c r="O149" s="1105"/>
      <c r="P149" s="1105"/>
      <c r="Q149" s="1105"/>
      <c r="R149" s="1105"/>
      <c r="S149" s="1105"/>
      <c r="T149" s="1105"/>
      <c r="U149" s="1105"/>
      <c r="V149" s="1105"/>
      <c r="W149" s="1105"/>
      <c r="X149" s="1105"/>
      <c r="Y149" s="1105"/>
      <c r="Z149" s="1105"/>
      <c r="AA149" s="1105"/>
      <c r="AB149" s="1105"/>
      <c r="AC149" s="1105"/>
      <c r="AD149" s="1105"/>
      <c r="AE149" s="1105"/>
      <c r="AF149" s="1105"/>
      <c r="AG149" s="1105"/>
      <c r="AH149" s="1105"/>
      <c r="AI149" s="1105"/>
    </row>
    <row r="150" spans="1:35">
      <c r="B150" s="1699"/>
      <c r="C150" s="1699"/>
      <c r="D150" s="1699"/>
    </row>
    <row r="151" spans="1:35" ht="15.75" customHeight="1">
      <c r="B151" s="1703" t="s">
        <v>9</v>
      </c>
      <c r="C151" s="1897" t="s">
        <v>1891</v>
      </c>
      <c r="D151" s="1897"/>
      <c r="X151" s="1704"/>
    </row>
    <row r="152" spans="1:35" ht="15.75" customHeight="1">
      <c r="B152" s="1703"/>
      <c r="C152" s="1897"/>
      <c r="D152" s="1897"/>
      <c r="X152" s="1704"/>
    </row>
    <row r="153" spans="1:35" ht="15.75" customHeight="1">
      <c r="B153" s="1703"/>
      <c r="C153" s="1897"/>
      <c r="D153" s="1897"/>
      <c r="X153" s="1704"/>
    </row>
    <row r="154" spans="1:35">
      <c r="B154" s="1699"/>
      <c r="C154" s="1897"/>
      <c r="D154" s="1897"/>
    </row>
    <row r="155" spans="1:35" ht="15.75" customHeight="1">
      <c r="B155" s="1705" t="s">
        <v>10</v>
      </c>
      <c r="C155" s="1898" t="s">
        <v>1892</v>
      </c>
      <c r="D155" s="1898"/>
    </row>
    <row r="156" spans="1:35">
      <c r="C156" s="1898"/>
      <c r="D156" s="1898"/>
    </row>
    <row r="157" spans="1:35" ht="15.75" customHeight="1">
      <c r="C157" s="1658" t="s">
        <v>101</v>
      </c>
    </row>
    <row r="159" spans="1:35" ht="15.75" customHeight="1">
      <c r="A159" s="1614" t="s">
        <v>598</v>
      </c>
      <c r="B159" s="1614"/>
      <c r="C159" s="1615"/>
      <c r="D159" s="324"/>
      <c r="E159" s="324"/>
      <c r="F159" s="757"/>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row>
    <row r="161" spans="6:162" ht="15.75" customHeight="1"/>
    <row r="163" spans="6:162" ht="15.75" customHeight="1"/>
    <row r="165" spans="6:162" ht="15.75" customHeight="1"/>
    <row r="167" spans="6:162" s="1658" customFormat="1" ht="15.75" customHeight="1">
      <c r="F167" s="1656"/>
      <c r="G167" s="1656"/>
      <c r="H167" s="1656"/>
      <c r="I167" s="1656"/>
      <c r="J167" s="1656"/>
      <c r="K167" s="1656"/>
      <c r="L167" s="1656"/>
      <c r="M167" s="1656"/>
      <c r="N167" s="1656"/>
      <c r="O167" s="1656"/>
      <c r="P167" s="1656"/>
      <c r="Q167" s="1656"/>
      <c r="R167" s="1656"/>
      <c r="S167" s="1656"/>
      <c r="T167" s="1656"/>
      <c r="U167" s="1656"/>
      <c r="V167" s="1656"/>
      <c r="W167" s="1656"/>
      <c r="X167" s="1656"/>
      <c r="Y167" s="1656"/>
      <c r="AA167" s="1656"/>
      <c r="AC167" s="1656"/>
      <c r="AD167" s="1656"/>
      <c r="AE167" s="1656"/>
      <c r="AF167" s="1656"/>
      <c r="AG167" s="1656"/>
      <c r="AH167" s="1657"/>
      <c r="AI167" s="1657"/>
      <c r="AJ167" s="1656"/>
      <c r="AK167" s="1656"/>
      <c r="AL167" s="1656"/>
      <c r="AM167" s="1656"/>
      <c r="AN167" s="1656"/>
      <c r="AO167" s="1656"/>
      <c r="AP167" s="1656"/>
      <c r="AQ167" s="1656"/>
      <c r="AR167" s="1656"/>
      <c r="AS167" s="1656"/>
      <c r="AT167" s="1656"/>
      <c r="AU167" s="1656"/>
      <c r="AV167" s="1656"/>
      <c r="AW167" s="1656"/>
      <c r="AX167" s="1656"/>
      <c r="AY167" s="1656"/>
      <c r="AZ167" s="1656"/>
      <c r="BA167" s="1656"/>
      <c r="BB167" s="1656"/>
      <c r="BC167" s="1656"/>
      <c r="BD167" s="1656"/>
      <c r="BE167" s="1656"/>
      <c r="BF167" s="1656"/>
      <c r="BG167" s="1656"/>
      <c r="BH167" s="1656"/>
      <c r="BI167" s="1656"/>
      <c r="BJ167" s="1656"/>
      <c r="BK167" s="1656"/>
      <c r="BL167" s="1656"/>
      <c r="BM167" s="1656"/>
      <c r="BN167" s="1656"/>
      <c r="BO167" s="1656"/>
      <c r="BP167" s="1656"/>
      <c r="BQ167" s="1656"/>
      <c r="BR167" s="1656"/>
      <c r="BS167" s="1656"/>
      <c r="BT167" s="1656"/>
      <c r="BU167" s="1656"/>
      <c r="BV167" s="1656"/>
      <c r="BW167" s="1656"/>
      <c r="BX167" s="1656"/>
      <c r="BY167" s="1656"/>
      <c r="BZ167" s="1656"/>
      <c r="CA167" s="1656"/>
      <c r="CB167" s="1656"/>
      <c r="CC167" s="1656"/>
      <c r="CD167" s="1656"/>
      <c r="CE167" s="1656"/>
      <c r="CF167" s="1656"/>
      <c r="CG167" s="1656"/>
      <c r="CH167" s="1656"/>
      <c r="CI167" s="1656"/>
      <c r="CJ167" s="1656"/>
      <c r="CK167" s="1656"/>
      <c r="CL167" s="1656"/>
      <c r="CM167" s="1656"/>
      <c r="CN167" s="1656"/>
      <c r="CO167" s="1656"/>
      <c r="CP167" s="1656"/>
      <c r="CQ167" s="1656"/>
      <c r="CR167" s="1656"/>
      <c r="CS167" s="1656"/>
      <c r="CT167" s="1656"/>
      <c r="CU167" s="1656"/>
      <c r="CV167" s="1656"/>
      <c r="CW167" s="1656"/>
      <c r="CX167" s="1656"/>
      <c r="CY167" s="1656"/>
      <c r="CZ167" s="1656"/>
      <c r="DA167" s="1656"/>
      <c r="DB167" s="1656"/>
      <c r="DC167" s="1656"/>
      <c r="DD167" s="1656"/>
      <c r="DE167" s="1656"/>
      <c r="DF167" s="1656"/>
      <c r="DG167" s="1656"/>
      <c r="DH167" s="1656"/>
      <c r="DI167" s="1656"/>
      <c r="DJ167" s="1656"/>
      <c r="DK167" s="1656"/>
      <c r="DL167" s="1656"/>
      <c r="DM167" s="1656"/>
      <c r="DN167" s="1656"/>
      <c r="DO167" s="1656"/>
      <c r="DP167" s="1656"/>
      <c r="DQ167" s="1656"/>
      <c r="DR167" s="1656"/>
      <c r="DS167" s="1656"/>
      <c r="DT167" s="1656"/>
      <c r="DU167" s="1656"/>
      <c r="DV167" s="1656"/>
      <c r="DW167" s="1656"/>
      <c r="DX167" s="1656"/>
      <c r="DY167" s="1656"/>
      <c r="DZ167" s="1656"/>
      <c r="EA167" s="1656"/>
      <c r="EB167" s="1656"/>
      <c r="EC167" s="1656"/>
      <c r="ED167" s="1656"/>
      <c r="EE167" s="1656"/>
      <c r="EF167" s="1656"/>
      <c r="EG167" s="1656"/>
      <c r="EH167" s="1656"/>
      <c r="EI167" s="1656"/>
      <c r="EJ167" s="1656"/>
      <c r="EK167" s="1656"/>
      <c r="EL167" s="1656"/>
      <c r="EM167" s="1656"/>
      <c r="EN167" s="1656"/>
      <c r="EO167" s="1656"/>
      <c r="EP167" s="1656"/>
      <c r="EQ167" s="1656"/>
      <c r="ER167" s="1656"/>
      <c r="ES167" s="1656"/>
      <c r="ET167" s="1656"/>
      <c r="EU167" s="1656"/>
      <c r="EV167" s="1656"/>
      <c r="EW167" s="1656"/>
      <c r="EX167" s="1656"/>
      <c r="EY167" s="1656"/>
      <c r="EZ167" s="1656"/>
      <c r="FA167" s="1656"/>
      <c r="FB167" s="1656"/>
      <c r="FC167" s="1656"/>
      <c r="FD167" s="1656"/>
      <c r="FE167" s="1656"/>
      <c r="FF167" s="1656"/>
    </row>
    <row r="169" spans="6:162" s="1658" customFormat="1" ht="15.75" customHeight="1">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AA169" s="1656"/>
      <c r="AC169" s="1656"/>
      <c r="AD169" s="1656"/>
      <c r="AE169" s="1656"/>
      <c r="AF169" s="1656"/>
      <c r="AG169" s="1656"/>
      <c r="AH169" s="1657"/>
      <c r="AI169" s="1657"/>
      <c r="AJ169" s="1656"/>
      <c r="AK169" s="1656"/>
      <c r="AL169" s="1656"/>
      <c r="AM169" s="1656"/>
      <c r="AN169" s="1656"/>
      <c r="AO169" s="1656"/>
      <c r="AP169" s="1656"/>
      <c r="AQ169" s="1656"/>
      <c r="AR169" s="1656"/>
      <c r="AS169" s="1656"/>
      <c r="AT169" s="1656"/>
      <c r="AU169" s="1656"/>
      <c r="AV169" s="1656"/>
      <c r="AW169" s="1656"/>
      <c r="AX169" s="1656"/>
      <c r="AY169" s="1656"/>
      <c r="AZ169" s="1656"/>
      <c r="BA169" s="1656"/>
      <c r="BB169" s="1656"/>
      <c r="BC169" s="1656"/>
      <c r="BD169" s="1656"/>
      <c r="BE169" s="1656"/>
      <c r="BF169" s="1656"/>
      <c r="BG169" s="1656"/>
      <c r="BH169" s="1656"/>
      <c r="BI169" s="1656"/>
      <c r="BJ169" s="1656"/>
      <c r="BK169" s="1656"/>
      <c r="BL169" s="1656"/>
      <c r="BM169" s="1656"/>
      <c r="BN169" s="1656"/>
      <c r="BO169" s="1656"/>
      <c r="BP169" s="1656"/>
      <c r="BQ169" s="1656"/>
      <c r="BR169" s="1656"/>
      <c r="BS169" s="1656"/>
      <c r="BT169" s="1656"/>
      <c r="BU169" s="1656"/>
      <c r="BV169" s="1656"/>
      <c r="BW169" s="1656"/>
      <c r="BX169" s="1656"/>
      <c r="BY169" s="1656"/>
      <c r="BZ169" s="1656"/>
      <c r="CA169" s="1656"/>
      <c r="CB169" s="1656"/>
      <c r="CC169" s="1656"/>
      <c r="CD169" s="1656"/>
      <c r="CE169" s="1656"/>
      <c r="CF169" s="1656"/>
      <c r="CG169" s="1656"/>
      <c r="CH169" s="1656"/>
      <c r="CI169" s="1656"/>
      <c r="CJ169" s="1656"/>
      <c r="CK169" s="1656"/>
      <c r="CL169" s="1656"/>
      <c r="CM169" s="1656"/>
      <c r="CN169" s="1656"/>
      <c r="CO169" s="1656"/>
      <c r="CP169" s="1656"/>
      <c r="CQ169" s="1656"/>
      <c r="CR169" s="1656"/>
      <c r="CS169" s="1656"/>
      <c r="CT169" s="1656"/>
      <c r="CU169" s="1656"/>
      <c r="CV169" s="1656"/>
      <c r="CW169" s="1656"/>
      <c r="CX169" s="1656"/>
      <c r="CY169" s="1656"/>
      <c r="CZ169" s="1656"/>
      <c r="DA169" s="1656"/>
      <c r="DB169" s="1656"/>
      <c r="DC169" s="1656"/>
      <c r="DD169" s="1656"/>
      <c r="DE169" s="1656"/>
      <c r="DF169" s="1656"/>
      <c r="DG169" s="1656"/>
      <c r="DH169" s="1656"/>
      <c r="DI169" s="1656"/>
      <c r="DJ169" s="1656"/>
      <c r="DK169" s="1656"/>
      <c r="DL169" s="1656"/>
      <c r="DM169" s="1656"/>
      <c r="DN169" s="1656"/>
      <c r="DO169" s="1656"/>
      <c r="DP169" s="1656"/>
      <c r="DQ169" s="1656"/>
      <c r="DR169" s="1656"/>
      <c r="DS169" s="1656"/>
      <c r="DT169" s="1656"/>
      <c r="DU169" s="1656"/>
      <c r="DV169" s="1656"/>
      <c r="DW169" s="1656"/>
      <c r="DX169" s="1656"/>
      <c r="DY169" s="1656"/>
      <c r="DZ169" s="1656"/>
      <c r="EA169" s="1656"/>
      <c r="EB169" s="1656"/>
      <c r="EC169" s="1656"/>
      <c r="ED169" s="1656"/>
      <c r="EE169" s="1656"/>
      <c r="EF169" s="1656"/>
      <c r="EG169" s="1656"/>
      <c r="EH169" s="1656"/>
      <c r="EI169" s="1656"/>
      <c r="EJ169" s="1656"/>
      <c r="EK169" s="1656"/>
      <c r="EL169" s="1656"/>
      <c r="EM169" s="1656"/>
      <c r="EN169" s="1656"/>
      <c r="EO169" s="1656"/>
      <c r="EP169" s="1656"/>
      <c r="EQ169" s="1656"/>
      <c r="ER169" s="1656"/>
      <c r="ES169" s="1656"/>
      <c r="ET169" s="1656"/>
      <c r="EU169" s="1656"/>
      <c r="EV169" s="1656"/>
      <c r="EW169" s="1656"/>
      <c r="EX169" s="1656"/>
      <c r="EY169" s="1656"/>
      <c r="EZ169" s="1656"/>
      <c r="FA169" s="1656"/>
      <c r="FB169" s="1656"/>
      <c r="FC169" s="1656"/>
      <c r="FD169" s="1656"/>
      <c r="FE169" s="1656"/>
      <c r="FF169" s="1656"/>
    </row>
    <row r="171" spans="6:162" s="1658" customFormat="1" ht="15.75" customHeight="1">
      <c r="F171" s="1656"/>
      <c r="G171" s="1656"/>
      <c r="H171" s="1656"/>
      <c r="I171" s="1656"/>
      <c r="J171" s="1656"/>
      <c r="K171" s="1656"/>
      <c r="L171" s="1656"/>
      <c r="M171" s="1656"/>
      <c r="N171" s="1656"/>
      <c r="O171" s="1656"/>
      <c r="P171" s="1656"/>
      <c r="Q171" s="1656"/>
      <c r="R171" s="1656"/>
      <c r="S171" s="1656"/>
      <c r="T171" s="1656"/>
      <c r="U171" s="1656"/>
      <c r="V171" s="1656"/>
      <c r="W171" s="1656"/>
      <c r="X171" s="1656"/>
      <c r="Y171" s="1656"/>
      <c r="AA171" s="1656"/>
      <c r="AC171" s="1656"/>
      <c r="AD171" s="1656"/>
      <c r="AE171" s="1656"/>
      <c r="AF171" s="1656"/>
      <c r="AG171" s="1656"/>
      <c r="AH171" s="1657"/>
      <c r="AI171" s="1657"/>
      <c r="AJ171" s="1656"/>
      <c r="AK171" s="1656"/>
      <c r="AL171" s="1656"/>
      <c r="AM171" s="1656"/>
      <c r="AN171" s="1656"/>
      <c r="AO171" s="1656"/>
      <c r="AP171" s="1656"/>
      <c r="AQ171" s="1656"/>
      <c r="AR171" s="1656"/>
      <c r="AS171" s="1656"/>
      <c r="AT171" s="1656"/>
      <c r="AU171" s="1656"/>
      <c r="AV171" s="1656"/>
      <c r="AW171" s="1656"/>
      <c r="AX171" s="1656"/>
      <c r="AY171" s="1656"/>
      <c r="AZ171" s="1656"/>
      <c r="BA171" s="1656"/>
      <c r="BB171" s="1656"/>
      <c r="BC171" s="1656"/>
      <c r="BD171" s="1656"/>
      <c r="BE171" s="1656"/>
      <c r="BF171" s="1656"/>
      <c r="BG171" s="1656"/>
      <c r="BH171" s="1656"/>
      <c r="BI171" s="1656"/>
      <c r="BJ171" s="1656"/>
      <c r="BK171" s="1656"/>
      <c r="BL171" s="1656"/>
      <c r="BM171" s="1656"/>
      <c r="BN171" s="1656"/>
      <c r="BO171" s="1656"/>
      <c r="BP171" s="1656"/>
      <c r="BQ171" s="1656"/>
      <c r="BR171" s="1656"/>
      <c r="BS171" s="1656"/>
      <c r="BT171" s="1656"/>
      <c r="BU171" s="1656"/>
      <c r="BV171" s="1656"/>
      <c r="BW171" s="1656"/>
      <c r="BX171" s="1656"/>
      <c r="BY171" s="1656"/>
      <c r="BZ171" s="1656"/>
      <c r="CA171" s="1656"/>
      <c r="CB171" s="1656"/>
      <c r="CC171" s="1656"/>
      <c r="CD171" s="1656"/>
      <c r="CE171" s="1656"/>
      <c r="CF171" s="1656"/>
      <c r="CG171" s="1656"/>
      <c r="CH171" s="1656"/>
      <c r="CI171" s="1656"/>
      <c r="CJ171" s="1656"/>
      <c r="CK171" s="1656"/>
      <c r="CL171" s="1656"/>
      <c r="CM171" s="1656"/>
      <c r="CN171" s="1656"/>
      <c r="CO171" s="1656"/>
      <c r="CP171" s="1656"/>
      <c r="CQ171" s="1656"/>
      <c r="CR171" s="1656"/>
      <c r="CS171" s="1656"/>
      <c r="CT171" s="1656"/>
      <c r="CU171" s="1656"/>
      <c r="CV171" s="1656"/>
      <c r="CW171" s="1656"/>
      <c r="CX171" s="1656"/>
      <c r="CY171" s="1656"/>
      <c r="CZ171" s="1656"/>
      <c r="DA171" s="1656"/>
      <c r="DB171" s="1656"/>
      <c r="DC171" s="1656"/>
      <c r="DD171" s="1656"/>
      <c r="DE171" s="1656"/>
      <c r="DF171" s="1656"/>
      <c r="DG171" s="1656"/>
      <c r="DH171" s="1656"/>
      <c r="DI171" s="1656"/>
      <c r="DJ171" s="1656"/>
      <c r="DK171" s="1656"/>
      <c r="DL171" s="1656"/>
      <c r="DM171" s="1656"/>
      <c r="DN171" s="1656"/>
      <c r="DO171" s="1656"/>
      <c r="DP171" s="1656"/>
      <c r="DQ171" s="1656"/>
      <c r="DR171" s="1656"/>
      <c r="DS171" s="1656"/>
      <c r="DT171" s="1656"/>
      <c r="DU171" s="1656"/>
      <c r="DV171" s="1656"/>
      <c r="DW171" s="1656"/>
      <c r="DX171" s="1656"/>
      <c r="DY171" s="1656"/>
      <c r="DZ171" s="1656"/>
      <c r="EA171" s="1656"/>
      <c r="EB171" s="1656"/>
      <c r="EC171" s="1656"/>
      <c r="ED171" s="1656"/>
      <c r="EE171" s="1656"/>
      <c r="EF171" s="1656"/>
      <c r="EG171" s="1656"/>
      <c r="EH171" s="1656"/>
      <c r="EI171" s="1656"/>
      <c r="EJ171" s="1656"/>
      <c r="EK171" s="1656"/>
      <c r="EL171" s="1656"/>
      <c r="EM171" s="1656"/>
      <c r="EN171" s="1656"/>
      <c r="EO171" s="1656"/>
      <c r="EP171" s="1656"/>
      <c r="EQ171" s="1656"/>
      <c r="ER171" s="1656"/>
      <c r="ES171" s="1656"/>
      <c r="ET171" s="1656"/>
      <c r="EU171" s="1656"/>
      <c r="EV171" s="1656"/>
      <c r="EW171" s="1656"/>
      <c r="EX171" s="1656"/>
      <c r="EY171" s="1656"/>
      <c r="EZ171" s="1656"/>
      <c r="FA171" s="1656"/>
      <c r="FB171" s="1656"/>
      <c r="FC171" s="1656"/>
      <c r="FD171" s="1656"/>
      <c r="FE171" s="1656"/>
      <c r="FF171" s="1656"/>
    </row>
    <row r="173" spans="6:162" s="1658" customFormat="1" ht="15.75" customHeight="1">
      <c r="F173" s="1656"/>
      <c r="G173" s="1656"/>
      <c r="H173" s="1656"/>
      <c r="I173" s="1656"/>
      <c r="J173" s="1656"/>
      <c r="K173" s="1656"/>
      <c r="L173" s="1656"/>
      <c r="M173" s="1656"/>
      <c r="N173" s="1656"/>
      <c r="O173" s="1656"/>
      <c r="P173" s="1656"/>
      <c r="Q173" s="1656"/>
      <c r="R173" s="1656"/>
      <c r="S173" s="1656"/>
      <c r="T173" s="1656"/>
      <c r="U173" s="1656"/>
      <c r="V173" s="1656"/>
      <c r="W173" s="1656"/>
      <c r="X173" s="1656"/>
      <c r="Y173" s="1656"/>
      <c r="AA173" s="1656"/>
      <c r="AC173" s="1656"/>
      <c r="AD173" s="1656"/>
      <c r="AE173" s="1656"/>
      <c r="AF173" s="1656"/>
      <c r="AG173" s="1656"/>
      <c r="AH173" s="1657"/>
      <c r="AI173" s="1657"/>
      <c r="AJ173" s="1656"/>
      <c r="AK173" s="1656"/>
      <c r="AL173" s="1656"/>
      <c r="AM173" s="1656"/>
      <c r="AN173" s="1656"/>
      <c r="AO173" s="1656"/>
      <c r="AP173" s="1656"/>
      <c r="AQ173" s="1656"/>
      <c r="AR173" s="1656"/>
      <c r="AS173" s="1656"/>
      <c r="AT173" s="1656"/>
      <c r="AU173" s="1656"/>
      <c r="AV173" s="1656"/>
      <c r="AW173" s="1656"/>
      <c r="AX173" s="1656"/>
      <c r="AY173" s="1656"/>
      <c r="AZ173" s="1656"/>
      <c r="BA173" s="1656"/>
      <c r="BB173" s="1656"/>
      <c r="BC173" s="1656"/>
      <c r="BD173" s="1656"/>
      <c r="BE173" s="1656"/>
      <c r="BF173" s="1656"/>
      <c r="BG173" s="1656"/>
      <c r="BH173" s="1656"/>
      <c r="BI173" s="1656"/>
      <c r="BJ173" s="1656"/>
      <c r="BK173" s="1656"/>
      <c r="BL173" s="1656"/>
      <c r="BM173" s="1656"/>
      <c r="BN173" s="1656"/>
      <c r="BO173" s="1656"/>
      <c r="BP173" s="1656"/>
      <c r="BQ173" s="1656"/>
      <c r="BR173" s="1656"/>
      <c r="BS173" s="1656"/>
      <c r="BT173" s="1656"/>
      <c r="BU173" s="1656"/>
      <c r="BV173" s="1656"/>
      <c r="BW173" s="1656"/>
      <c r="BX173" s="1656"/>
      <c r="BY173" s="1656"/>
      <c r="BZ173" s="1656"/>
      <c r="CA173" s="1656"/>
      <c r="CB173" s="1656"/>
      <c r="CC173" s="1656"/>
      <c r="CD173" s="1656"/>
      <c r="CE173" s="1656"/>
      <c r="CF173" s="1656"/>
      <c r="CG173" s="1656"/>
      <c r="CH173" s="1656"/>
      <c r="CI173" s="1656"/>
      <c r="CJ173" s="1656"/>
      <c r="CK173" s="1656"/>
      <c r="CL173" s="1656"/>
      <c r="CM173" s="1656"/>
      <c r="CN173" s="1656"/>
      <c r="CO173" s="1656"/>
      <c r="CP173" s="1656"/>
      <c r="CQ173" s="1656"/>
      <c r="CR173" s="1656"/>
      <c r="CS173" s="1656"/>
      <c r="CT173" s="1656"/>
      <c r="CU173" s="1656"/>
      <c r="CV173" s="1656"/>
      <c r="CW173" s="1656"/>
      <c r="CX173" s="1656"/>
      <c r="CY173" s="1656"/>
      <c r="CZ173" s="1656"/>
      <c r="DA173" s="1656"/>
      <c r="DB173" s="1656"/>
      <c r="DC173" s="1656"/>
      <c r="DD173" s="1656"/>
      <c r="DE173" s="1656"/>
      <c r="DF173" s="1656"/>
      <c r="DG173" s="1656"/>
      <c r="DH173" s="1656"/>
      <c r="DI173" s="1656"/>
      <c r="DJ173" s="1656"/>
      <c r="DK173" s="1656"/>
      <c r="DL173" s="1656"/>
      <c r="DM173" s="1656"/>
      <c r="DN173" s="1656"/>
      <c r="DO173" s="1656"/>
      <c r="DP173" s="1656"/>
      <c r="DQ173" s="1656"/>
      <c r="DR173" s="1656"/>
      <c r="DS173" s="1656"/>
      <c r="DT173" s="1656"/>
      <c r="DU173" s="1656"/>
      <c r="DV173" s="1656"/>
      <c r="DW173" s="1656"/>
      <c r="DX173" s="1656"/>
      <c r="DY173" s="1656"/>
      <c r="DZ173" s="1656"/>
      <c r="EA173" s="1656"/>
      <c r="EB173" s="1656"/>
      <c r="EC173" s="1656"/>
      <c r="ED173" s="1656"/>
      <c r="EE173" s="1656"/>
      <c r="EF173" s="1656"/>
      <c r="EG173" s="1656"/>
      <c r="EH173" s="1656"/>
      <c r="EI173" s="1656"/>
      <c r="EJ173" s="1656"/>
      <c r="EK173" s="1656"/>
      <c r="EL173" s="1656"/>
      <c r="EM173" s="1656"/>
      <c r="EN173" s="1656"/>
      <c r="EO173" s="1656"/>
      <c r="EP173" s="1656"/>
      <c r="EQ173" s="1656"/>
      <c r="ER173" s="1656"/>
      <c r="ES173" s="1656"/>
      <c r="ET173" s="1656"/>
      <c r="EU173" s="1656"/>
      <c r="EV173" s="1656"/>
      <c r="EW173" s="1656"/>
      <c r="EX173" s="1656"/>
      <c r="EY173" s="1656"/>
      <c r="EZ173" s="1656"/>
      <c r="FA173" s="1656"/>
      <c r="FB173" s="1656"/>
      <c r="FC173" s="1656"/>
      <c r="FD173" s="1656"/>
      <c r="FE173" s="1656"/>
      <c r="FF173" s="1656"/>
    </row>
    <row r="175" spans="6:162" s="1658" customFormat="1" ht="15.75" customHeight="1">
      <c r="F175" s="1656"/>
      <c r="G175" s="1656"/>
      <c r="H175" s="1656"/>
      <c r="I175" s="1656"/>
      <c r="J175" s="1656"/>
      <c r="K175" s="1656"/>
      <c r="L175" s="1656"/>
      <c r="M175" s="1656"/>
      <c r="N175" s="1656"/>
      <c r="O175" s="1656"/>
      <c r="P175" s="1656"/>
      <c r="Q175" s="1656"/>
      <c r="R175" s="1656"/>
      <c r="S175" s="1656"/>
      <c r="T175" s="1656"/>
      <c r="U175" s="1656"/>
      <c r="V175" s="1656"/>
      <c r="W175" s="1656"/>
      <c r="X175" s="1656"/>
      <c r="Y175" s="1656"/>
      <c r="AA175" s="1656"/>
      <c r="AC175" s="1656"/>
      <c r="AD175" s="1656"/>
      <c r="AE175" s="1656"/>
      <c r="AF175" s="1656"/>
      <c r="AG175" s="1656"/>
      <c r="AH175" s="1657"/>
      <c r="AI175" s="1657"/>
      <c r="AJ175" s="1656"/>
      <c r="AK175" s="1656"/>
      <c r="AL175" s="1656"/>
      <c r="AM175" s="1656"/>
      <c r="AN175" s="1656"/>
      <c r="AO175" s="1656"/>
      <c r="AP175" s="1656"/>
      <c r="AQ175" s="1656"/>
      <c r="AR175" s="1656"/>
      <c r="AS175" s="1656"/>
      <c r="AT175" s="1656"/>
      <c r="AU175" s="1656"/>
      <c r="AV175" s="1656"/>
      <c r="AW175" s="1656"/>
      <c r="AX175" s="1656"/>
      <c r="AY175" s="1656"/>
      <c r="AZ175" s="1656"/>
      <c r="BA175" s="1656"/>
      <c r="BB175" s="1656"/>
      <c r="BC175" s="1656"/>
      <c r="BD175" s="1656"/>
      <c r="BE175" s="1656"/>
      <c r="BF175" s="1656"/>
      <c r="BG175" s="1656"/>
      <c r="BH175" s="1656"/>
      <c r="BI175" s="1656"/>
      <c r="BJ175" s="1656"/>
      <c r="BK175" s="1656"/>
      <c r="BL175" s="1656"/>
      <c r="BM175" s="1656"/>
      <c r="BN175" s="1656"/>
      <c r="BO175" s="1656"/>
      <c r="BP175" s="1656"/>
      <c r="BQ175" s="1656"/>
      <c r="BR175" s="1656"/>
      <c r="BS175" s="1656"/>
      <c r="BT175" s="1656"/>
      <c r="BU175" s="1656"/>
      <c r="BV175" s="1656"/>
      <c r="BW175" s="1656"/>
      <c r="BX175" s="1656"/>
      <c r="BY175" s="1656"/>
      <c r="BZ175" s="1656"/>
      <c r="CA175" s="1656"/>
      <c r="CB175" s="1656"/>
      <c r="CC175" s="1656"/>
      <c r="CD175" s="1656"/>
      <c r="CE175" s="1656"/>
      <c r="CF175" s="1656"/>
      <c r="CG175" s="1656"/>
      <c r="CH175" s="1656"/>
      <c r="CI175" s="1656"/>
      <c r="CJ175" s="1656"/>
      <c r="CK175" s="1656"/>
      <c r="CL175" s="1656"/>
      <c r="CM175" s="1656"/>
      <c r="CN175" s="1656"/>
      <c r="CO175" s="1656"/>
      <c r="CP175" s="1656"/>
      <c r="CQ175" s="1656"/>
      <c r="CR175" s="1656"/>
      <c r="CS175" s="1656"/>
      <c r="CT175" s="1656"/>
      <c r="CU175" s="1656"/>
      <c r="CV175" s="1656"/>
      <c r="CW175" s="1656"/>
      <c r="CX175" s="1656"/>
      <c r="CY175" s="1656"/>
      <c r="CZ175" s="1656"/>
      <c r="DA175" s="1656"/>
      <c r="DB175" s="1656"/>
      <c r="DC175" s="1656"/>
      <c r="DD175" s="1656"/>
      <c r="DE175" s="1656"/>
      <c r="DF175" s="1656"/>
      <c r="DG175" s="1656"/>
      <c r="DH175" s="1656"/>
      <c r="DI175" s="1656"/>
      <c r="DJ175" s="1656"/>
      <c r="DK175" s="1656"/>
      <c r="DL175" s="1656"/>
      <c r="DM175" s="1656"/>
      <c r="DN175" s="1656"/>
      <c r="DO175" s="1656"/>
      <c r="DP175" s="1656"/>
      <c r="DQ175" s="1656"/>
      <c r="DR175" s="1656"/>
      <c r="DS175" s="1656"/>
      <c r="DT175" s="1656"/>
      <c r="DU175" s="1656"/>
      <c r="DV175" s="1656"/>
      <c r="DW175" s="1656"/>
      <c r="DX175" s="1656"/>
      <c r="DY175" s="1656"/>
      <c r="DZ175" s="1656"/>
      <c r="EA175" s="1656"/>
      <c r="EB175" s="1656"/>
      <c r="EC175" s="1656"/>
      <c r="ED175" s="1656"/>
      <c r="EE175" s="1656"/>
      <c r="EF175" s="1656"/>
      <c r="EG175" s="1656"/>
      <c r="EH175" s="1656"/>
      <c r="EI175" s="1656"/>
      <c r="EJ175" s="1656"/>
      <c r="EK175" s="1656"/>
      <c r="EL175" s="1656"/>
      <c r="EM175" s="1656"/>
      <c r="EN175" s="1656"/>
      <c r="EO175" s="1656"/>
      <c r="EP175" s="1656"/>
      <c r="EQ175" s="1656"/>
      <c r="ER175" s="1656"/>
      <c r="ES175" s="1656"/>
      <c r="ET175" s="1656"/>
      <c r="EU175" s="1656"/>
      <c r="EV175" s="1656"/>
      <c r="EW175" s="1656"/>
      <c r="EX175" s="1656"/>
      <c r="EY175" s="1656"/>
      <c r="EZ175" s="1656"/>
      <c r="FA175" s="1656"/>
      <c r="FB175" s="1656"/>
      <c r="FC175" s="1656"/>
      <c r="FD175" s="1656"/>
      <c r="FE175" s="1656"/>
      <c r="FF175" s="1656"/>
    </row>
    <row r="177" spans="6:162" s="1658" customFormat="1" ht="15.75" customHeight="1">
      <c r="F177" s="1656"/>
      <c r="G177" s="1656"/>
      <c r="H177" s="1656"/>
      <c r="I177" s="1656"/>
      <c r="J177" s="1656"/>
      <c r="K177" s="1656"/>
      <c r="L177" s="1656"/>
      <c r="M177" s="1656"/>
      <c r="N177" s="1656"/>
      <c r="O177" s="1656"/>
      <c r="P177" s="1656"/>
      <c r="Q177" s="1656"/>
      <c r="R177" s="1656"/>
      <c r="S177" s="1656"/>
      <c r="T177" s="1656"/>
      <c r="U177" s="1656"/>
      <c r="V177" s="1656"/>
      <c r="W177" s="1656"/>
      <c r="X177" s="1656"/>
      <c r="Y177" s="1656"/>
      <c r="AA177" s="1656"/>
      <c r="AC177" s="1656"/>
      <c r="AD177" s="1656"/>
      <c r="AE177" s="1656"/>
      <c r="AF177" s="1656"/>
      <c r="AG177" s="1656"/>
      <c r="AH177" s="1657"/>
      <c r="AI177" s="1657"/>
      <c r="AJ177" s="1656"/>
      <c r="AK177" s="1656"/>
      <c r="AL177" s="1656"/>
      <c r="AM177" s="1656"/>
      <c r="AN177" s="1656"/>
      <c r="AO177" s="1656"/>
      <c r="AP177" s="1656"/>
      <c r="AQ177" s="1656"/>
      <c r="AR177" s="1656"/>
      <c r="AS177" s="1656"/>
      <c r="AT177" s="1656"/>
      <c r="AU177" s="1656"/>
      <c r="AV177" s="1656"/>
      <c r="AW177" s="1656"/>
      <c r="AX177" s="1656"/>
      <c r="AY177" s="1656"/>
      <c r="AZ177" s="1656"/>
      <c r="BA177" s="1656"/>
      <c r="BB177" s="1656"/>
      <c r="BC177" s="1656"/>
      <c r="BD177" s="1656"/>
      <c r="BE177" s="1656"/>
      <c r="BF177" s="1656"/>
      <c r="BG177" s="1656"/>
      <c r="BH177" s="1656"/>
      <c r="BI177" s="1656"/>
      <c r="BJ177" s="1656"/>
      <c r="BK177" s="1656"/>
      <c r="BL177" s="1656"/>
      <c r="BM177" s="1656"/>
      <c r="BN177" s="1656"/>
      <c r="BO177" s="1656"/>
      <c r="BP177" s="1656"/>
      <c r="BQ177" s="1656"/>
      <c r="BR177" s="1656"/>
      <c r="BS177" s="1656"/>
      <c r="BT177" s="1656"/>
      <c r="BU177" s="1656"/>
      <c r="BV177" s="1656"/>
      <c r="BW177" s="1656"/>
      <c r="BX177" s="1656"/>
      <c r="BY177" s="1656"/>
      <c r="BZ177" s="1656"/>
      <c r="CA177" s="1656"/>
      <c r="CB177" s="1656"/>
      <c r="CC177" s="1656"/>
      <c r="CD177" s="1656"/>
      <c r="CE177" s="1656"/>
      <c r="CF177" s="1656"/>
      <c r="CG177" s="1656"/>
      <c r="CH177" s="1656"/>
      <c r="CI177" s="1656"/>
      <c r="CJ177" s="1656"/>
      <c r="CK177" s="1656"/>
      <c r="CL177" s="1656"/>
      <c r="CM177" s="1656"/>
      <c r="CN177" s="1656"/>
      <c r="CO177" s="1656"/>
      <c r="CP177" s="1656"/>
      <c r="CQ177" s="1656"/>
      <c r="CR177" s="1656"/>
      <c r="CS177" s="1656"/>
      <c r="CT177" s="1656"/>
      <c r="CU177" s="1656"/>
      <c r="CV177" s="1656"/>
      <c r="CW177" s="1656"/>
      <c r="CX177" s="1656"/>
      <c r="CY177" s="1656"/>
      <c r="CZ177" s="1656"/>
      <c r="DA177" s="1656"/>
      <c r="DB177" s="1656"/>
      <c r="DC177" s="1656"/>
      <c r="DD177" s="1656"/>
      <c r="DE177" s="1656"/>
      <c r="DF177" s="1656"/>
      <c r="DG177" s="1656"/>
      <c r="DH177" s="1656"/>
      <c r="DI177" s="1656"/>
      <c r="DJ177" s="1656"/>
      <c r="DK177" s="1656"/>
      <c r="DL177" s="1656"/>
      <c r="DM177" s="1656"/>
      <c r="DN177" s="1656"/>
      <c r="DO177" s="1656"/>
      <c r="DP177" s="1656"/>
      <c r="DQ177" s="1656"/>
      <c r="DR177" s="1656"/>
      <c r="DS177" s="1656"/>
      <c r="DT177" s="1656"/>
      <c r="DU177" s="1656"/>
      <c r="DV177" s="1656"/>
      <c r="DW177" s="1656"/>
      <c r="DX177" s="1656"/>
      <c r="DY177" s="1656"/>
      <c r="DZ177" s="1656"/>
      <c r="EA177" s="1656"/>
      <c r="EB177" s="1656"/>
      <c r="EC177" s="1656"/>
      <c r="ED177" s="1656"/>
      <c r="EE177" s="1656"/>
      <c r="EF177" s="1656"/>
      <c r="EG177" s="1656"/>
      <c r="EH177" s="1656"/>
      <c r="EI177" s="1656"/>
      <c r="EJ177" s="1656"/>
      <c r="EK177" s="1656"/>
      <c r="EL177" s="1656"/>
      <c r="EM177" s="1656"/>
      <c r="EN177" s="1656"/>
      <c r="EO177" s="1656"/>
      <c r="EP177" s="1656"/>
      <c r="EQ177" s="1656"/>
      <c r="ER177" s="1656"/>
      <c r="ES177" s="1656"/>
      <c r="ET177" s="1656"/>
      <c r="EU177" s="1656"/>
      <c r="EV177" s="1656"/>
      <c r="EW177" s="1656"/>
      <c r="EX177" s="1656"/>
      <c r="EY177" s="1656"/>
      <c r="EZ177" s="1656"/>
      <c r="FA177" s="1656"/>
      <c r="FB177" s="1656"/>
      <c r="FC177" s="1656"/>
      <c r="FD177" s="1656"/>
      <c r="FE177" s="1656"/>
      <c r="FF177" s="1656"/>
    </row>
    <row r="179" spans="6:162" s="1658" customFormat="1" ht="15.75" customHeight="1">
      <c r="F179" s="1656"/>
      <c r="G179" s="1656"/>
      <c r="H179" s="1656"/>
      <c r="I179" s="1656"/>
      <c r="J179" s="1656"/>
      <c r="K179" s="1656"/>
      <c r="L179" s="1656"/>
      <c r="M179" s="1656"/>
      <c r="N179" s="1656"/>
      <c r="O179" s="1656"/>
      <c r="P179" s="1656"/>
      <c r="Q179" s="1656"/>
      <c r="R179" s="1656"/>
      <c r="S179" s="1656"/>
      <c r="T179" s="1656"/>
      <c r="U179" s="1656"/>
      <c r="V179" s="1656"/>
      <c r="W179" s="1656"/>
      <c r="X179" s="1656"/>
      <c r="Y179" s="1656"/>
      <c r="AA179" s="1656"/>
      <c r="AC179" s="1656"/>
      <c r="AD179" s="1656"/>
      <c r="AE179" s="1656"/>
      <c r="AF179" s="1656"/>
      <c r="AG179" s="1656"/>
      <c r="AH179" s="1657"/>
      <c r="AI179" s="1657"/>
      <c r="AJ179" s="1656"/>
      <c r="AK179" s="1656"/>
      <c r="AL179" s="1656"/>
      <c r="AM179" s="1656"/>
      <c r="AN179" s="1656"/>
      <c r="AO179" s="1656"/>
      <c r="AP179" s="1656"/>
      <c r="AQ179" s="1656"/>
      <c r="AR179" s="1656"/>
      <c r="AS179" s="1656"/>
      <c r="AT179" s="1656"/>
      <c r="AU179" s="1656"/>
      <c r="AV179" s="1656"/>
      <c r="AW179" s="1656"/>
      <c r="AX179" s="1656"/>
      <c r="AY179" s="1656"/>
      <c r="AZ179" s="1656"/>
      <c r="BA179" s="1656"/>
      <c r="BB179" s="1656"/>
      <c r="BC179" s="1656"/>
      <c r="BD179" s="1656"/>
      <c r="BE179" s="1656"/>
      <c r="BF179" s="1656"/>
      <c r="BG179" s="1656"/>
      <c r="BH179" s="1656"/>
      <c r="BI179" s="1656"/>
      <c r="BJ179" s="1656"/>
      <c r="BK179" s="1656"/>
      <c r="BL179" s="1656"/>
      <c r="BM179" s="1656"/>
      <c r="BN179" s="1656"/>
      <c r="BO179" s="1656"/>
      <c r="BP179" s="1656"/>
      <c r="BQ179" s="1656"/>
      <c r="BR179" s="1656"/>
      <c r="BS179" s="1656"/>
      <c r="BT179" s="1656"/>
      <c r="BU179" s="1656"/>
      <c r="BV179" s="1656"/>
      <c r="BW179" s="1656"/>
      <c r="BX179" s="1656"/>
      <c r="BY179" s="1656"/>
      <c r="BZ179" s="1656"/>
      <c r="CA179" s="1656"/>
      <c r="CB179" s="1656"/>
      <c r="CC179" s="1656"/>
      <c r="CD179" s="1656"/>
      <c r="CE179" s="1656"/>
      <c r="CF179" s="1656"/>
      <c r="CG179" s="1656"/>
      <c r="CH179" s="1656"/>
      <c r="CI179" s="1656"/>
      <c r="CJ179" s="1656"/>
      <c r="CK179" s="1656"/>
      <c r="CL179" s="1656"/>
      <c r="CM179" s="1656"/>
      <c r="CN179" s="1656"/>
      <c r="CO179" s="1656"/>
      <c r="CP179" s="1656"/>
      <c r="CQ179" s="1656"/>
      <c r="CR179" s="1656"/>
      <c r="CS179" s="1656"/>
      <c r="CT179" s="1656"/>
      <c r="CU179" s="1656"/>
      <c r="CV179" s="1656"/>
      <c r="CW179" s="1656"/>
      <c r="CX179" s="1656"/>
      <c r="CY179" s="1656"/>
      <c r="CZ179" s="1656"/>
      <c r="DA179" s="1656"/>
      <c r="DB179" s="1656"/>
      <c r="DC179" s="1656"/>
      <c r="DD179" s="1656"/>
      <c r="DE179" s="1656"/>
      <c r="DF179" s="1656"/>
      <c r="DG179" s="1656"/>
      <c r="DH179" s="1656"/>
      <c r="DI179" s="1656"/>
      <c r="DJ179" s="1656"/>
      <c r="DK179" s="1656"/>
      <c r="DL179" s="1656"/>
      <c r="DM179" s="1656"/>
      <c r="DN179" s="1656"/>
      <c r="DO179" s="1656"/>
      <c r="DP179" s="1656"/>
      <c r="DQ179" s="1656"/>
      <c r="DR179" s="1656"/>
      <c r="DS179" s="1656"/>
      <c r="DT179" s="1656"/>
      <c r="DU179" s="1656"/>
      <c r="DV179" s="1656"/>
      <c r="DW179" s="1656"/>
      <c r="DX179" s="1656"/>
      <c r="DY179" s="1656"/>
      <c r="DZ179" s="1656"/>
      <c r="EA179" s="1656"/>
      <c r="EB179" s="1656"/>
      <c r="EC179" s="1656"/>
      <c r="ED179" s="1656"/>
      <c r="EE179" s="1656"/>
      <c r="EF179" s="1656"/>
      <c r="EG179" s="1656"/>
      <c r="EH179" s="1656"/>
      <c r="EI179" s="1656"/>
      <c r="EJ179" s="1656"/>
      <c r="EK179" s="1656"/>
      <c r="EL179" s="1656"/>
      <c r="EM179" s="1656"/>
      <c r="EN179" s="1656"/>
      <c r="EO179" s="1656"/>
      <c r="EP179" s="1656"/>
      <c r="EQ179" s="1656"/>
      <c r="ER179" s="1656"/>
      <c r="ES179" s="1656"/>
      <c r="ET179" s="1656"/>
      <c r="EU179" s="1656"/>
      <c r="EV179" s="1656"/>
      <c r="EW179" s="1656"/>
      <c r="EX179" s="1656"/>
      <c r="EY179" s="1656"/>
      <c r="EZ179" s="1656"/>
      <c r="FA179" s="1656"/>
      <c r="FB179" s="1656"/>
      <c r="FC179" s="1656"/>
      <c r="FD179" s="1656"/>
      <c r="FE179" s="1656"/>
      <c r="FF179" s="1656"/>
    </row>
    <row r="181" spans="6:162" s="1658" customFormat="1" ht="15.75" customHeight="1">
      <c r="F181" s="1656"/>
      <c r="G181" s="1656"/>
      <c r="H181" s="1656"/>
      <c r="I181" s="1656"/>
      <c r="J181" s="1656"/>
      <c r="K181" s="1656"/>
      <c r="L181" s="1656"/>
      <c r="M181" s="1656"/>
      <c r="N181" s="1656"/>
      <c r="O181" s="1656"/>
      <c r="P181" s="1656"/>
      <c r="Q181" s="1656"/>
      <c r="R181" s="1656"/>
      <c r="S181" s="1656"/>
      <c r="T181" s="1656"/>
      <c r="U181" s="1656"/>
      <c r="V181" s="1656"/>
      <c r="W181" s="1656"/>
      <c r="X181" s="1656"/>
      <c r="Y181" s="1656"/>
      <c r="AA181" s="1656"/>
      <c r="AC181" s="1656"/>
      <c r="AD181" s="1656"/>
      <c r="AE181" s="1656"/>
      <c r="AF181" s="1656"/>
      <c r="AG181" s="1656"/>
      <c r="AH181" s="1657"/>
      <c r="AI181" s="1657"/>
      <c r="AJ181" s="1656"/>
      <c r="AK181" s="1656"/>
      <c r="AL181" s="1656"/>
      <c r="AM181" s="1656"/>
      <c r="AN181" s="1656"/>
      <c r="AO181" s="1656"/>
      <c r="AP181" s="1656"/>
      <c r="AQ181" s="1656"/>
      <c r="AR181" s="1656"/>
      <c r="AS181" s="1656"/>
      <c r="AT181" s="1656"/>
      <c r="AU181" s="1656"/>
      <c r="AV181" s="1656"/>
      <c r="AW181" s="1656"/>
      <c r="AX181" s="1656"/>
      <c r="AY181" s="1656"/>
      <c r="AZ181" s="1656"/>
      <c r="BA181" s="1656"/>
      <c r="BB181" s="1656"/>
      <c r="BC181" s="1656"/>
      <c r="BD181" s="1656"/>
      <c r="BE181" s="1656"/>
      <c r="BF181" s="1656"/>
      <c r="BG181" s="1656"/>
      <c r="BH181" s="1656"/>
      <c r="BI181" s="1656"/>
      <c r="BJ181" s="1656"/>
      <c r="BK181" s="1656"/>
      <c r="BL181" s="1656"/>
      <c r="BM181" s="1656"/>
      <c r="BN181" s="1656"/>
      <c r="BO181" s="1656"/>
      <c r="BP181" s="1656"/>
      <c r="BQ181" s="1656"/>
      <c r="BR181" s="1656"/>
      <c r="BS181" s="1656"/>
      <c r="BT181" s="1656"/>
      <c r="BU181" s="1656"/>
      <c r="BV181" s="1656"/>
      <c r="BW181" s="1656"/>
      <c r="BX181" s="1656"/>
      <c r="BY181" s="1656"/>
      <c r="BZ181" s="1656"/>
      <c r="CA181" s="1656"/>
      <c r="CB181" s="1656"/>
      <c r="CC181" s="1656"/>
      <c r="CD181" s="1656"/>
      <c r="CE181" s="1656"/>
      <c r="CF181" s="1656"/>
      <c r="CG181" s="1656"/>
      <c r="CH181" s="1656"/>
      <c r="CI181" s="1656"/>
      <c r="CJ181" s="1656"/>
      <c r="CK181" s="1656"/>
      <c r="CL181" s="1656"/>
      <c r="CM181" s="1656"/>
      <c r="CN181" s="1656"/>
      <c r="CO181" s="1656"/>
      <c r="CP181" s="1656"/>
      <c r="CQ181" s="1656"/>
      <c r="CR181" s="1656"/>
      <c r="CS181" s="1656"/>
      <c r="CT181" s="1656"/>
      <c r="CU181" s="1656"/>
      <c r="CV181" s="1656"/>
      <c r="CW181" s="1656"/>
      <c r="CX181" s="1656"/>
      <c r="CY181" s="1656"/>
      <c r="CZ181" s="1656"/>
      <c r="DA181" s="1656"/>
      <c r="DB181" s="1656"/>
      <c r="DC181" s="1656"/>
      <c r="DD181" s="1656"/>
      <c r="DE181" s="1656"/>
      <c r="DF181" s="1656"/>
      <c r="DG181" s="1656"/>
      <c r="DH181" s="1656"/>
      <c r="DI181" s="1656"/>
      <c r="DJ181" s="1656"/>
      <c r="DK181" s="1656"/>
      <c r="DL181" s="1656"/>
      <c r="DM181" s="1656"/>
      <c r="DN181" s="1656"/>
      <c r="DO181" s="1656"/>
      <c r="DP181" s="1656"/>
      <c r="DQ181" s="1656"/>
      <c r="DR181" s="1656"/>
      <c r="DS181" s="1656"/>
      <c r="DT181" s="1656"/>
      <c r="DU181" s="1656"/>
      <c r="DV181" s="1656"/>
      <c r="DW181" s="1656"/>
      <c r="DX181" s="1656"/>
      <c r="DY181" s="1656"/>
      <c r="DZ181" s="1656"/>
      <c r="EA181" s="1656"/>
      <c r="EB181" s="1656"/>
      <c r="EC181" s="1656"/>
      <c r="ED181" s="1656"/>
      <c r="EE181" s="1656"/>
      <c r="EF181" s="1656"/>
      <c r="EG181" s="1656"/>
      <c r="EH181" s="1656"/>
      <c r="EI181" s="1656"/>
      <c r="EJ181" s="1656"/>
      <c r="EK181" s="1656"/>
      <c r="EL181" s="1656"/>
      <c r="EM181" s="1656"/>
      <c r="EN181" s="1656"/>
      <c r="EO181" s="1656"/>
      <c r="EP181" s="1656"/>
      <c r="EQ181" s="1656"/>
      <c r="ER181" s="1656"/>
      <c r="ES181" s="1656"/>
      <c r="ET181" s="1656"/>
      <c r="EU181" s="1656"/>
      <c r="EV181" s="1656"/>
      <c r="EW181" s="1656"/>
      <c r="EX181" s="1656"/>
      <c r="EY181" s="1656"/>
      <c r="EZ181" s="1656"/>
      <c r="FA181" s="1656"/>
      <c r="FB181" s="1656"/>
      <c r="FC181" s="1656"/>
      <c r="FD181" s="1656"/>
      <c r="FE181" s="1656"/>
      <c r="FF181" s="1656"/>
    </row>
    <row r="183" spans="6:162" s="1658" customFormat="1" ht="15.75" customHeight="1">
      <c r="F183" s="1656"/>
      <c r="G183" s="1656"/>
      <c r="H183" s="1656"/>
      <c r="I183" s="1656"/>
      <c r="J183" s="1656"/>
      <c r="K183" s="1656"/>
      <c r="L183" s="1656"/>
      <c r="M183" s="1656"/>
      <c r="N183" s="1656"/>
      <c r="O183" s="1656"/>
      <c r="P183" s="1656"/>
      <c r="Q183" s="1656"/>
      <c r="R183" s="1656"/>
      <c r="S183" s="1656"/>
      <c r="T183" s="1656"/>
      <c r="U183" s="1656"/>
      <c r="V183" s="1656"/>
      <c r="W183" s="1656"/>
      <c r="X183" s="1656"/>
      <c r="Y183" s="1656"/>
      <c r="AA183" s="1656"/>
      <c r="AC183" s="1656"/>
      <c r="AD183" s="1656"/>
      <c r="AE183" s="1656"/>
      <c r="AF183" s="1656"/>
      <c r="AG183" s="1656"/>
      <c r="AH183" s="1657"/>
      <c r="AI183" s="1657"/>
      <c r="AJ183" s="1656"/>
      <c r="AK183" s="1656"/>
      <c r="AL183" s="1656"/>
      <c r="AM183" s="1656"/>
      <c r="AN183" s="1656"/>
      <c r="AO183" s="1656"/>
      <c r="AP183" s="1656"/>
      <c r="AQ183" s="1656"/>
      <c r="AR183" s="1656"/>
      <c r="AS183" s="1656"/>
      <c r="AT183" s="1656"/>
      <c r="AU183" s="1656"/>
      <c r="AV183" s="1656"/>
      <c r="AW183" s="1656"/>
      <c r="AX183" s="1656"/>
      <c r="AY183" s="1656"/>
      <c r="AZ183" s="1656"/>
      <c r="BA183" s="1656"/>
      <c r="BB183" s="1656"/>
      <c r="BC183" s="1656"/>
      <c r="BD183" s="1656"/>
      <c r="BE183" s="1656"/>
      <c r="BF183" s="1656"/>
      <c r="BG183" s="1656"/>
      <c r="BH183" s="1656"/>
      <c r="BI183" s="1656"/>
      <c r="BJ183" s="1656"/>
      <c r="BK183" s="1656"/>
      <c r="BL183" s="1656"/>
      <c r="BM183" s="1656"/>
      <c r="BN183" s="1656"/>
      <c r="BO183" s="1656"/>
      <c r="BP183" s="1656"/>
      <c r="BQ183" s="1656"/>
      <c r="BR183" s="1656"/>
      <c r="BS183" s="1656"/>
      <c r="BT183" s="1656"/>
      <c r="BU183" s="1656"/>
      <c r="BV183" s="1656"/>
      <c r="BW183" s="1656"/>
      <c r="BX183" s="1656"/>
      <c r="BY183" s="1656"/>
      <c r="BZ183" s="1656"/>
      <c r="CA183" s="1656"/>
      <c r="CB183" s="1656"/>
      <c r="CC183" s="1656"/>
      <c r="CD183" s="1656"/>
      <c r="CE183" s="1656"/>
      <c r="CF183" s="1656"/>
      <c r="CG183" s="1656"/>
      <c r="CH183" s="1656"/>
      <c r="CI183" s="1656"/>
      <c r="CJ183" s="1656"/>
      <c r="CK183" s="1656"/>
      <c r="CL183" s="1656"/>
      <c r="CM183" s="1656"/>
      <c r="CN183" s="1656"/>
      <c r="CO183" s="1656"/>
      <c r="CP183" s="1656"/>
      <c r="CQ183" s="1656"/>
      <c r="CR183" s="1656"/>
      <c r="CS183" s="1656"/>
      <c r="CT183" s="1656"/>
      <c r="CU183" s="1656"/>
      <c r="CV183" s="1656"/>
      <c r="CW183" s="1656"/>
      <c r="CX183" s="1656"/>
      <c r="CY183" s="1656"/>
      <c r="CZ183" s="1656"/>
      <c r="DA183" s="1656"/>
      <c r="DB183" s="1656"/>
      <c r="DC183" s="1656"/>
      <c r="DD183" s="1656"/>
      <c r="DE183" s="1656"/>
      <c r="DF183" s="1656"/>
      <c r="DG183" s="1656"/>
      <c r="DH183" s="1656"/>
      <c r="DI183" s="1656"/>
      <c r="DJ183" s="1656"/>
      <c r="DK183" s="1656"/>
      <c r="DL183" s="1656"/>
      <c r="DM183" s="1656"/>
      <c r="DN183" s="1656"/>
      <c r="DO183" s="1656"/>
      <c r="DP183" s="1656"/>
      <c r="DQ183" s="1656"/>
      <c r="DR183" s="1656"/>
      <c r="DS183" s="1656"/>
      <c r="DT183" s="1656"/>
      <c r="DU183" s="1656"/>
      <c r="DV183" s="1656"/>
      <c r="DW183" s="1656"/>
      <c r="DX183" s="1656"/>
      <c r="DY183" s="1656"/>
      <c r="DZ183" s="1656"/>
      <c r="EA183" s="1656"/>
      <c r="EB183" s="1656"/>
      <c r="EC183" s="1656"/>
      <c r="ED183" s="1656"/>
      <c r="EE183" s="1656"/>
      <c r="EF183" s="1656"/>
      <c r="EG183" s="1656"/>
      <c r="EH183" s="1656"/>
      <c r="EI183" s="1656"/>
      <c r="EJ183" s="1656"/>
      <c r="EK183" s="1656"/>
      <c r="EL183" s="1656"/>
      <c r="EM183" s="1656"/>
      <c r="EN183" s="1656"/>
      <c r="EO183" s="1656"/>
      <c r="EP183" s="1656"/>
      <c r="EQ183" s="1656"/>
      <c r="ER183" s="1656"/>
      <c r="ES183" s="1656"/>
      <c r="ET183" s="1656"/>
      <c r="EU183" s="1656"/>
      <c r="EV183" s="1656"/>
      <c r="EW183" s="1656"/>
      <c r="EX183" s="1656"/>
      <c r="EY183" s="1656"/>
      <c r="EZ183" s="1656"/>
      <c r="FA183" s="1656"/>
      <c r="FB183" s="1656"/>
      <c r="FC183" s="1656"/>
      <c r="FD183" s="1656"/>
      <c r="FE183" s="1656"/>
      <c r="FF183" s="1656"/>
    </row>
    <row r="185" spans="6:162" s="1658" customFormat="1" ht="15.75" customHeight="1">
      <c r="F185" s="1656"/>
      <c r="G185" s="1656"/>
      <c r="H185" s="1656"/>
      <c r="I185" s="1656"/>
      <c r="J185" s="1656"/>
      <c r="K185" s="1656"/>
      <c r="L185" s="1656"/>
      <c r="M185" s="1656"/>
      <c r="N185" s="1656"/>
      <c r="O185" s="1656"/>
      <c r="P185" s="1656"/>
      <c r="Q185" s="1656"/>
      <c r="R185" s="1656"/>
      <c r="S185" s="1656"/>
      <c r="T185" s="1656"/>
      <c r="U185" s="1656"/>
      <c r="V185" s="1656"/>
      <c r="W185" s="1656"/>
      <c r="X185" s="1656"/>
      <c r="Y185" s="1656"/>
      <c r="AA185" s="1656"/>
      <c r="AC185" s="1656"/>
      <c r="AD185" s="1656"/>
      <c r="AE185" s="1656"/>
      <c r="AF185" s="1656"/>
      <c r="AG185" s="1656"/>
      <c r="AH185" s="1657"/>
      <c r="AI185" s="1657"/>
      <c r="AJ185" s="1656"/>
      <c r="AK185" s="1656"/>
      <c r="AL185" s="1656"/>
      <c r="AM185" s="1656"/>
      <c r="AN185" s="1656"/>
      <c r="AO185" s="1656"/>
      <c r="AP185" s="1656"/>
      <c r="AQ185" s="1656"/>
      <c r="AR185" s="1656"/>
      <c r="AS185" s="1656"/>
      <c r="AT185" s="1656"/>
      <c r="AU185" s="1656"/>
      <c r="AV185" s="1656"/>
      <c r="AW185" s="1656"/>
      <c r="AX185" s="1656"/>
      <c r="AY185" s="1656"/>
      <c r="AZ185" s="1656"/>
      <c r="BA185" s="1656"/>
      <c r="BB185" s="1656"/>
      <c r="BC185" s="1656"/>
      <c r="BD185" s="1656"/>
      <c r="BE185" s="1656"/>
      <c r="BF185" s="1656"/>
      <c r="BG185" s="1656"/>
      <c r="BH185" s="1656"/>
      <c r="BI185" s="1656"/>
      <c r="BJ185" s="1656"/>
      <c r="BK185" s="1656"/>
      <c r="BL185" s="1656"/>
      <c r="BM185" s="1656"/>
      <c r="BN185" s="1656"/>
      <c r="BO185" s="1656"/>
      <c r="BP185" s="1656"/>
      <c r="BQ185" s="1656"/>
      <c r="BR185" s="1656"/>
      <c r="BS185" s="1656"/>
      <c r="BT185" s="1656"/>
      <c r="BU185" s="1656"/>
      <c r="BV185" s="1656"/>
      <c r="BW185" s="1656"/>
      <c r="BX185" s="1656"/>
      <c r="BY185" s="1656"/>
      <c r="BZ185" s="1656"/>
      <c r="CA185" s="1656"/>
      <c r="CB185" s="1656"/>
      <c r="CC185" s="1656"/>
      <c r="CD185" s="1656"/>
      <c r="CE185" s="1656"/>
      <c r="CF185" s="1656"/>
      <c r="CG185" s="1656"/>
      <c r="CH185" s="1656"/>
      <c r="CI185" s="1656"/>
      <c r="CJ185" s="1656"/>
      <c r="CK185" s="1656"/>
      <c r="CL185" s="1656"/>
      <c r="CM185" s="1656"/>
      <c r="CN185" s="1656"/>
      <c r="CO185" s="1656"/>
      <c r="CP185" s="1656"/>
      <c r="CQ185" s="1656"/>
      <c r="CR185" s="1656"/>
      <c r="CS185" s="1656"/>
      <c r="CT185" s="1656"/>
      <c r="CU185" s="1656"/>
      <c r="CV185" s="1656"/>
      <c r="CW185" s="1656"/>
      <c r="CX185" s="1656"/>
      <c r="CY185" s="1656"/>
      <c r="CZ185" s="1656"/>
      <c r="DA185" s="1656"/>
      <c r="DB185" s="1656"/>
      <c r="DC185" s="1656"/>
      <c r="DD185" s="1656"/>
      <c r="DE185" s="1656"/>
      <c r="DF185" s="1656"/>
      <c r="DG185" s="1656"/>
      <c r="DH185" s="1656"/>
      <c r="DI185" s="1656"/>
      <c r="DJ185" s="1656"/>
      <c r="DK185" s="1656"/>
      <c r="DL185" s="1656"/>
      <c r="DM185" s="1656"/>
      <c r="DN185" s="1656"/>
      <c r="DO185" s="1656"/>
      <c r="DP185" s="1656"/>
      <c r="DQ185" s="1656"/>
      <c r="DR185" s="1656"/>
      <c r="DS185" s="1656"/>
      <c r="DT185" s="1656"/>
      <c r="DU185" s="1656"/>
      <c r="DV185" s="1656"/>
      <c r="DW185" s="1656"/>
      <c r="DX185" s="1656"/>
      <c r="DY185" s="1656"/>
      <c r="DZ185" s="1656"/>
      <c r="EA185" s="1656"/>
      <c r="EB185" s="1656"/>
      <c r="EC185" s="1656"/>
      <c r="ED185" s="1656"/>
      <c r="EE185" s="1656"/>
      <c r="EF185" s="1656"/>
      <c r="EG185" s="1656"/>
      <c r="EH185" s="1656"/>
      <c r="EI185" s="1656"/>
      <c r="EJ185" s="1656"/>
      <c r="EK185" s="1656"/>
      <c r="EL185" s="1656"/>
      <c r="EM185" s="1656"/>
      <c r="EN185" s="1656"/>
      <c r="EO185" s="1656"/>
      <c r="EP185" s="1656"/>
      <c r="EQ185" s="1656"/>
      <c r="ER185" s="1656"/>
      <c r="ES185" s="1656"/>
      <c r="ET185" s="1656"/>
      <c r="EU185" s="1656"/>
      <c r="EV185" s="1656"/>
      <c r="EW185" s="1656"/>
      <c r="EX185" s="1656"/>
      <c r="EY185" s="1656"/>
      <c r="EZ185" s="1656"/>
      <c r="FA185" s="1656"/>
      <c r="FB185" s="1656"/>
      <c r="FC185" s="1656"/>
      <c r="FD185" s="1656"/>
      <c r="FE185" s="1656"/>
      <c r="FF185" s="1656"/>
    </row>
    <row r="187" spans="6:162" s="1658" customFormat="1" ht="15.75" customHeight="1">
      <c r="F187" s="1656"/>
      <c r="G187" s="1656"/>
      <c r="H187" s="1656"/>
      <c r="I187" s="1656"/>
      <c r="J187" s="1656"/>
      <c r="K187" s="1656"/>
      <c r="L187" s="1656"/>
      <c r="M187" s="1656"/>
      <c r="N187" s="1656"/>
      <c r="O187" s="1656"/>
      <c r="P187" s="1656"/>
      <c r="Q187" s="1656"/>
      <c r="R187" s="1656"/>
      <c r="S187" s="1656"/>
      <c r="T187" s="1656"/>
      <c r="U187" s="1656"/>
      <c r="V187" s="1656"/>
      <c r="W187" s="1656"/>
      <c r="X187" s="1656"/>
      <c r="Y187" s="1656"/>
      <c r="AA187" s="1656"/>
      <c r="AC187" s="1656"/>
      <c r="AD187" s="1656"/>
      <c r="AE187" s="1656"/>
      <c r="AF187" s="1656"/>
      <c r="AG187" s="1656"/>
      <c r="AH187" s="1657"/>
      <c r="AI187" s="1657"/>
      <c r="AJ187" s="1656"/>
      <c r="AK187" s="1656"/>
      <c r="AL187" s="1656"/>
      <c r="AM187" s="1656"/>
      <c r="AN187" s="1656"/>
      <c r="AO187" s="1656"/>
      <c r="AP187" s="1656"/>
      <c r="AQ187" s="1656"/>
      <c r="AR187" s="1656"/>
      <c r="AS187" s="1656"/>
      <c r="AT187" s="1656"/>
      <c r="AU187" s="1656"/>
      <c r="AV187" s="1656"/>
      <c r="AW187" s="1656"/>
      <c r="AX187" s="1656"/>
      <c r="AY187" s="1656"/>
      <c r="AZ187" s="1656"/>
      <c r="BA187" s="1656"/>
      <c r="BB187" s="1656"/>
      <c r="BC187" s="1656"/>
      <c r="BD187" s="1656"/>
      <c r="BE187" s="1656"/>
      <c r="BF187" s="1656"/>
      <c r="BG187" s="1656"/>
      <c r="BH187" s="1656"/>
      <c r="BI187" s="1656"/>
      <c r="BJ187" s="1656"/>
      <c r="BK187" s="1656"/>
      <c r="BL187" s="1656"/>
      <c r="BM187" s="1656"/>
      <c r="BN187" s="1656"/>
      <c r="BO187" s="1656"/>
      <c r="BP187" s="1656"/>
      <c r="BQ187" s="1656"/>
      <c r="BR187" s="1656"/>
      <c r="BS187" s="1656"/>
      <c r="BT187" s="1656"/>
      <c r="BU187" s="1656"/>
      <c r="BV187" s="1656"/>
      <c r="BW187" s="1656"/>
      <c r="BX187" s="1656"/>
      <c r="BY187" s="1656"/>
      <c r="BZ187" s="1656"/>
      <c r="CA187" s="1656"/>
      <c r="CB187" s="1656"/>
      <c r="CC187" s="1656"/>
      <c r="CD187" s="1656"/>
      <c r="CE187" s="1656"/>
      <c r="CF187" s="1656"/>
      <c r="CG187" s="1656"/>
      <c r="CH187" s="1656"/>
      <c r="CI187" s="1656"/>
      <c r="CJ187" s="1656"/>
      <c r="CK187" s="1656"/>
      <c r="CL187" s="1656"/>
      <c r="CM187" s="1656"/>
      <c r="CN187" s="1656"/>
      <c r="CO187" s="1656"/>
      <c r="CP187" s="1656"/>
      <c r="CQ187" s="1656"/>
      <c r="CR187" s="1656"/>
      <c r="CS187" s="1656"/>
      <c r="CT187" s="1656"/>
      <c r="CU187" s="1656"/>
      <c r="CV187" s="1656"/>
      <c r="CW187" s="1656"/>
      <c r="CX187" s="1656"/>
      <c r="CY187" s="1656"/>
      <c r="CZ187" s="1656"/>
      <c r="DA187" s="1656"/>
      <c r="DB187" s="1656"/>
      <c r="DC187" s="1656"/>
      <c r="DD187" s="1656"/>
      <c r="DE187" s="1656"/>
      <c r="DF187" s="1656"/>
      <c r="DG187" s="1656"/>
      <c r="DH187" s="1656"/>
      <c r="DI187" s="1656"/>
      <c r="DJ187" s="1656"/>
      <c r="DK187" s="1656"/>
      <c r="DL187" s="1656"/>
      <c r="DM187" s="1656"/>
      <c r="DN187" s="1656"/>
      <c r="DO187" s="1656"/>
      <c r="DP187" s="1656"/>
      <c r="DQ187" s="1656"/>
      <c r="DR187" s="1656"/>
      <c r="DS187" s="1656"/>
      <c r="DT187" s="1656"/>
      <c r="DU187" s="1656"/>
      <c r="DV187" s="1656"/>
      <c r="DW187" s="1656"/>
      <c r="DX187" s="1656"/>
      <c r="DY187" s="1656"/>
      <c r="DZ187" s="1656"/>
      <c r="EA187" s="1656"/>
      <c r="EB187" s="1656"/>
      <c r="EC187" s="1656"/>
      <c r="ED187" s="1656"/>
      <c r="EE187" s="1656"/>
      <c r="EF187" s="1656"/>
      <c r="EG187" s="1656"/>
      <c r="EH187" s="1656"/>
      <c r="EI187" s="1656"/>
      <c r="EJ187" s="1656"/>
      <c r="EK187" s="1656"/>
      <c r="EL187" s="1656"/>
      <c r="EM187" s="1656"/>
      <c r="EN187" s="1656"/>
      <c r="EO187" s="1656"/>
      <c r="EP187" s="1656"/>
      <c r="EQ187" s="1656"/>
      <c r="ER187" s="1656"/>
      <c r="ES187" s="1656"/>
      <c r="ET187" s="1656"/>
      <c r="EU187" s="1656"/>
      <c r="EV187" s="1656"/>
      <c r="EW187" s="1656"/>
      <c r="EX187" s="1656"/>
      <c r="EY187" s="1656"/>
      <c r="EZ187" s="1656"/>
      <c r="FA187" s="1656"/>
      <c r="FB187" s="1656"/>
      <c r="FC187" s="1656"/>
      <c r="FD187" s="1656"/>
      <c r="FE187" s="1656"/>
      <c r="FF187" s="1656"/>
    </row>
    <row r="189" spans="6:162" s="1658" customFormat="1" ht="15.75" customHeight="1">
      <c r="F189" s="1656"/>
      <c r="G189" s="1656"/>
      <c r="H189" s="1656"/>
      <c r="I189" s="1656"/>
      <c r="J189" s="1656"/>
      <c r="K189" s="1656"/>
      <c r="L189" s="1656"/>
      <c r="M189" s="1656"/>
      <c r="N189" s="1656"/>
      <c r="O189" s="1656"/>
      <c r="P189" s="1656"/>
      <c r="Q189" s="1656"/>
      <c r="R189" s="1656"/>
      <c r="S189" s="1656"/>
      <c r="T189" s="1656"/>
      <c r="U189" s="1656"/>
      <c r="V189" s="1656"/>
      <c r="W189" s="1656"/>
      <c r="X189" s="1656"/>
      <c r="Y189" s="1656"/>
      <c r="AA189" s="1656"/>
      <c r="AC189" s="1656"/>
      <c r="AD189" s="1656"/>
      <c r="AE189" s="1656"/>
      <c r="AF189" s="1656"/>
      <c r="AG189" s="1656"/>
      <c r="AH189" s="1657"/>
      <c r="AI189" s="1657"/>
      <c r="AJ189" s="1656"/>
      <c r="AK189" s="1656"/>
      <c r="AL189" s="1656"/>
      <c r="AM189" s="1656"/>
      <c r="AN189" s="1656"/>
      <c r="AO189" s="1656"/>
      <c r="AP189" s="1656"/>
      <c r="AQ189" s="1656"/>
      <c r="AR189" s="1656"/>
      <c r="AS189" s="1656"/>
      <c r="AT189" s="1656"/>
      <c r="AU189" s="1656"/>
      <c r="AV189" s="1656"/>
      <c r="AW189" s="1656"/>
      <c r="AX189" s="1656"/>
      <c r="AY189" s="1656"/>
      <c r="AZ189" s="1656"/>
      <c r="BA189" s="1656"/>
      <c r="BB189" s="1656"/>
      <c r="BC189" s="1656"/>
      <c r="BD189" s="1656"/>
      <c r="BE189" s="1656"/>
      <c r="BF189" s="1656"/>
      <c r="BG189" s="1656"/>
      <c r="BH189" s="1656"/>
      <c r="BI189" s="1656"/>
      <c r="BJ189" s="1656"/>
      <c r="BK189" s="1656"/>
      <c r="BL189" s="1656"/>
      <c r="BM189" s="1656"/>
      <c r="BN189" s="1656"/>
      <c r="BO189" s="1656"/>
      <c r="BP189" s="1656"/>
      <c r="BQ189" s="1656"/>
      <c r="BR189" s="1656"/>
      <c r="BS189" s="1656"/>
      <c r="BT189" s="1656"/>
      <c r="BU189" s="1656"/>
      <c r="BV189" s="1656"/>
      <c r="BW189" s="1656"/>
      <c r="BX189" s="1656"/>
      <c r="BY189" s="1656"/>
      <c r="BZ189" s="1656"/>
      <c r="CA189" s="1656"/>
      <c r="CB189" s="1656"/>
      <c r="CC189" s="1656"/>
      <c r="CD189" s="1656"/>
      <c r="CE189" s="1656"/>
      <c r="CF189" s="1656"/>
      <c r="CG189" s="1656"/>
      <c r="CH189" s="1656"/>
      <c r="CI189" s="1656"/>
      <c r="CJ189" s="1656"/>
      <c r="CK189" s="1656"/>
      <c r="CL189" s="1656"/>
      <c r="CM189" s="1656"/>
      <c r="CN189" s="1656"/>
      <c r="CO189" s="1656"/>
      <c r="CP189" s="1656"/>
      <c r="CQ189" s="1656"/>
      <c r="CR189" s="1656"/>
      <c r="CS189" s="1656"/>
      <c r="CT189" s="1656"/>
      <c r="CU189" s="1656"/>
      <c r="CV189" s="1656"/>
      <c r="CW189" s="1656"/>
      <c r="CX189" s="1656"/>
      <c r="CY189" s="1656"/>
      <c r="CZ189" s="1656"/>
      <c r="DA189" s="1656"/>
      <c r="DB189" s="1656"/>
      <c r="DC189" s="1656"/>
      <c r="DD189" s="1656"/>
      <c r="DE189" s="1656"/>
      <c r="DF189" s="1656"/>
      <c r="DG189" s="1656"/>
      <c r="DH189" s="1656"/>
      <c r="DI189" s="1656"/>
      <c r="DJ189" s="1656"/>
      <c r="DK189" s="1656"/>
      <c r="DL189" s="1656"/>
      <c r="DM189" s="1656"/>
      <c r="DN189" s="1656"/>
      <c r="DO189" s="1656"/>
      <c r="DP189" s="1656"/>
      <c r="DQ189" s="1656"/>
      <c r="DR189" s="1656"/>
      <c r="DS189" s="1656"/>
      <c r="DT189" s="1656"/>
      <c r="DU189" s="1656"/>
      <c r="DV189" s="1656"/>
      <c r="DW189" s="1656"/>
      <c r="DX189" s="1656"/>
      <c r="DY189" s="1656"/>
      <c r="DZ189" s="1656"/>
      <c r="EA189" s="1656"/>
      <c r="EB189" s="1656"/>
      <c r="EC189" s="1656"/>
      <c r="ED189" s="1656"/>
      <c r="EE189" s="1656"/>
      <c r="EF189" s="1656"/>
      <c r="EG189" s="1656"/>
      <c r="EH189" s="1656"/>
      <c r="EI189" s="1656"/>
      <c r="EJ189" s="1656"/>
      <c r="EK189" s="1656"/>
      <c r="EL189" s="1656"/>
      <c r="EM189" s="1656"/>
      <c r="EN189" s="1656"/>
      <c r="EO189" s="1656"/>
      <c r="EP189" s="1656"/>
      <c r="EQ189" s="1656"/>
      <c r="ER189" s="1656"/>
      <c r="ES189" s="1656"/>
      <c r="ET189" s="1656"/>
      <c r="EU189" s="1656"/>
      <c r="EV189" s="1656"/>
      <c r="EW189" s="1656"/>
      <c r="EX189" s="1656"/>
      <c r="EY189" s="1656"/>
      <c r="EZ189" s="1656"/>
      <c r="FA189" s="1656"/>
      <c r="FB189" s="1656"/>
      <c r="FC189" s="1656"/>
      <c r="FD189" s="1656"/>
      <c r="FE189" s="1656"/>
      <c r="FF189" s="1656"/>
    </row>
    <row r="191" spans="6:162" s="1658" customFormat="1" ht="15.75" customHeight="1">
      <c r="F191" s="1656"/>
      <c r="G191" s="1656"/>
      <c r="H191" s="1656"/>
      <c r="I191" s="1656"/>
      <c r="J191" s="1656"/>
      <c r="K191" s="1656"/>
      <c r="L191" s="1656"/>
      <c r="M191" s="1656"/>
      <c r="N191" s="1656"/>
      <c r="O191" s="1656"/>
      <c r="P191" s="1656"/>
      <c r="Q191" s="1656"/>
      <c r="R191" s="1656"/>
      <c r="S191" s="1656"/>
      <c r="T191" s="1656"/>
      <c r="U191" s="1656"/>
      <c r="V191" s="1656"/>
      <c r="W191" s="1656"/>
      <c r="X191" s="1656"/>
      <c r="Y191" s="1656"/>
      <c r="AA191" s="1656"/>
      <c r="AC191" s="1656"/>
      <c r="AD191" s="1656"/>
      <c r="AE191" s="1656"/>
      <c r="AF191" s="1656"/>
      <c r="AG191" s="1656"/>
      <c r="AH191" s="1657"/>
      <c r="AI191" s="1657"/>
      <c r="AJ191" s="1656"/>
      <c r="AK191" s="1656"/>
      <c r="AL191" s="1656"/>
      <c r="AM191" s="1656"/>
      <c r="AN191" s="1656"/>
      <c r="AO191" s="1656"/>
      <c r="AP191" s="1656"/>
      <c r="AQ191" s="1656"/>
      <c r="AR191" s="1656"/>
      <c r="AS191" s="1656"/>
      <c r="AT191" s="1656"/>
      <c r="AU191" s="1656"/>
      <c r="AV191" s="1656"/>
      <c r="AW191" s="1656"/>
      <c r="AX191" s="1656"/>
      <c r="AY191" s="1656"/>
      <c r="AZ191" s="1656"/>
      <c r="BA191" s="1656"/>
      <c r="BB191" s="1656"/>
      <c r="BC191" s="1656"/>
      <c r="BD191" s="1656"/>
      <c r="BE191" s="1656"/>
      <c r="BF191" s="1656"/>
      <c r="BG191" s="1656"/>
      <c r="BH191" s="1656"/>
      <c r="BI191" s="1656"/>
      <c r="BJ191" s="1656"/>
      <c r="BK191" s="1656"/>
      <c r="BL191" s="1656"/>
      <c r="BM191" s="1656"/>
      <c r="BN191" s="1656"/>
      <c r="BO191" s="1656"/>
      <c r="BP191" s="1656"/>
      <c r="BQ191" s="1656"/>
      <c r="BR191" s="1656"/>
      <c r="BS191" s="1656"/>
      <c r="BT191" s="1656"/>
      <c r="BU191" s="1656"/>
      <c r="BV191" s="1656"/>
      <c r="BW191" s="1656"/>
      <c r="BX191" s="1656"/>
      <c r="BY191" s="1656"/>
      <c r="BZ191" s="1656"/>
      <c r="CA191" s="1656"/>
      <c r="CB191" s="1656"/>
      <c r="CC191" s="1656"/>
      <c r="CD191" s="1656"/>
      <c r="CE191" s="1656"/>
      <c r="CF191" s="1656"/>
      <c r="CG191" s="1656"/>
      <c r="CH191" s="1656"/>
      <c r="CI191" s="1656"/>
      <c r="CJ191" s="1656"/>
      <c r="CK191" s="1656"/>
      <c r="CL191" s="1656"/>
      <c r="CM191" s="1656"/>
      <c r="CN191" s="1656"/>
      <c r="CO191" s="1656"/>
      <c r="CP191" s="1656"/>
      <c r="CQ191" s="1656"/>
      <c r="CR191" s="1656"/>
      <c r="CS191" s="1656"/>
      <c r="CT191" s="1656"/>
      <c r="CU191" s="1656"/>
      <c r="CV191" s="1656"/>
      <c r="CW191" s="1656"/>
      <c r="CX191" s="1656"/>
      <c r="CY191" s="1656"/>
      <c r="CZ191" s="1656"/>
      <c r="DA191" s="1656"/>
      <c r="DB191" s="1656"/>
      <c r="DC191" s="1656"/>
      <c r="DD191" s="1656"/>
      <c r="DE191" s="1656"/>
      <c r="DF191" s="1656"/>
      <c r="DG191" s="1656"/>
      <c r="DH191" s="1656"/>
      <c r="DI191" s="1656"/>
      <c r="DJ191" s="1656"/>
      <c r="DK191" s="1656"/>
      <c r="DL191" s="1656"/>
      <c r="DM191" s="1656"/>
      <c r="DN191" s="1656"/>
      <c r="DO191" s="1656"/>
      <c r="DP191" s="1656"/>
      <c r="DQ191" s="1656"/>
      <c r="DR191" s="1656"/>
      <c r="DS191" s="1656"/>
      <c r="DT191" s="1656"/>
      <c r="DU191" s="1656"/>
      <c r="DV191" s="1656"/>
      <c r="DW191" s="1656"/>
      <c r="DX191" s="1656"/>
      <c r="DY191" s="1656"/>
      <c r="DZ191" s="1656"/>
      <c r="EA191" s="1656"/>
      <c r="EB191" s="1656"/>
      <c r="EC191" s="1656"/>
      <c r="ED191" s="1656"/>
      <c r="EE191" s="1656"/>
      <c r="EF191" s="1656"/>
      <c r="EG191" s="1656"/>
      <c r="EH191" s="1656"/>
      <c r="EI191" s="1656"/>
      <c r="EJ191" s="1656"/>
      <c r="EK191" s="1656"/>
      <c r="EL191" s="1656"/>
      <c r="EM191" s="1656"/>
      <c r="EN191" s="1656"/>
      <c r="EO191" s="1656"/>
      <c r="EP191" s="1656"/>
      <c r="EQ191" s="1656"/>
      <c r="ER191" s="1656"/>
      <c r="ES191" s="1656"/>
      <c r="ET191" s="1656"/>
      <c r="EU191" s="1656"/>
      <c r="EV191" s="1656"/>
      <c r="EW191" s="1656"/>
      <c r="EX191" s="1656"/>
      <c r="EY191" s="1656"/>
      <c r="EZ191" s="1656"/>
      <c r="FA191" s="1656"/>
      <c r="FB191" s="1656"/>
      <c r="FC191" s="1656"/>
      <c r="FD191" s="1656"/>
      <c r="FE191" s="1656"/>
      <c r="FF191" s="1656"/>
    </row>
    <row r="193" spans="6:162" s="1658" customFormat="1" ht="15.75" customHeight="1">
      <c r="F193" s="1656"/>
      <c r="G193" s="1656"/>
      <c r="H193" s="1656"/>
      <c r="I193" s="1656"/>
      <c r="J193" s="1656"/>
      <c r="K193" s="1656"/>
      <c r="L193" s="1656"/>
      <c r="M193" s="1656"/>
      <c r="N193" s="1656"/>
      <c r="O193" s="1656"/>
      <c r="P193" s="1656"/>
      <c r="Q193" s="1656"/>
      <c r="R193" s="1656"/>
      <c r="S193" s="1656"/>
      <c r="T193" s="1656"/>
      <c r="U193" s="1656"/>
      <c r="V193" s="1656"/>
      <c r="W193" s="1656"/>
      <c r="X193" s="1656"/>
      <c r="Y193" s="1656"/>
      <c r="AA193" s="1656"/>
      <c r="AC193" s="1656"/>
      <c r="AD193" s="1656"/>
      <c r="AE193" s="1656"/>
      <c r="AF193" s="1656"/>
      <c r="AG193" s="1656"/>
      <c r="AH193" s="1657"/>
      <c r="AI193" s="1657"/>
      <c r="AJ193" s="1656"/>
      <c r="AK193" s="1656"/>
      <c r="AL193" s="1656"/>
      <c r="AM193" s="1656"/>
      <c r="AN193" s="1656"/>
      <c r="AO193" s="1656"/>
      <c r="AP193" s="1656"/>
      <c r="AQ193" s="1656"/>
      <c r="AR193" s="1656"/>
      <c r="AS193" s="1656"/>
      <c r="AT193" s="1656"/>
      <c r="AU193" s="1656"/>
      <c r="AV193" s="1656"/>
      <c r="AW193" s="1656"/>
      <c r="AX193" s="1656"/>
      <c r="AY193" s="1656"/>
      <c r="AZ193" s="1656"/>
      <c r="BA193" s="1656"/>
      <c r="BB193" s="1656"/>
      <c r="BC193" s="1656"/>
      <c r="BD193" s="1656"/>
      <c r="BE193" s="1656"/>
      <c r="BF193" s="1656"/>
      <c r="BG193" s="1656"/>
      <c r="BH193" s="1656"/>
      <c r="BI193" s="1656"/>
      <c r="BJ193" s="1656"/>
      <c r="BK193" s="1656"/>
      <c r="BL193" s="1656"/>
      <c r="BM193" s="1656"/>
      <c r="BN193" s="1656"/>
      <c r="BO193" s="1656"/>
      <c r="BP193" s="1656"/>
      <c r="BQ193" s="1656"/>
      <c r="BR193" s="1656"/>
      <c r="BS193" s="1656"/>
      <c r="BT193" s="1656"/>
      <c r="BU193" s="1656"/>
      <c r="BV193" s="1656"/>
      <c r="BW193" s="1656"/>
      <c r="BX193" s="1656"/>
      <c r="BY193" s="1656"/>
      <c r="BZ193" s="1656"/>
      <c r="CA193" s="1656"/>
      <c r="CB193" s="1656"/>
      <c r="CC193" s="1656"/>
      <c r="CD193" s="1656"/>
      <c r="CE193" s="1656"/>
      <c r="CF193" s="1656"/>
      <c r="CG193" s="1656"/>
      <c r="CH193" s="1656"/>
      <c r="CI193" s="1656"/>
      <c r="CJ193" s="1656"/>
      <c r="CK193" s="1656"/>
      <c r="CL193" s="1656"/>
      <c r="CM193" s="1656"/>
      <c r="CN193" s="1656"/>
      <c r="CO193" s="1656"/>
      <c r="CP193" s="1656"/>
      <c r="CQ193" s="1656"/>
      <c r="CR193" s="1656"/>
      <c r="CS193" s="1656"/>
      <c r="CT193" s="1656"/>
      <c r="CU193" s="1656"/>
      <c r="CV193" s="1656"/>
      <c r="CW193" s="1656"/>
      <c r="CX193" s="1656"/>
      <c r="CY193" s="1656"/>
      <c r="CZ193" s="1656"/>
      <c r="DA193" s="1656"/>
      <c r="DB193" s="1656"/>
      <c r="DC193" s="1656"/>
      <c r="DD193" s="1656"/>
      <c r="DE193" s="1656"/>
      <c r="DF193" s="1656"/>
      <c r="DG193" s="1656"/>
      <c r="DH193" s="1656"/>
      <c r="DI193" s="1656"/>
      <c r="DJ193" s="1656"/>
      <c r="DK193" s="1656"/>
      <c r="DL193" s="1656"/>
      <c r="DM193" s="1656"/>
      <c r="DN193" s="1656"/>
      <c r="DO193" s="1656"/>
      <c r="DP193" s="1656"/>
      <c r="DQ193" s="1656"/>
      <c r="DR193" s="1656"/>
      <c r="DS193" s="1656"/>
      <c r="DT193" s="1656"/>
      <c r="DU193" s="1656"/>
      <c r="DV193" s="1656"/>
      <c r="DW193" s="1656"/>
      <c r="DX193" s="1656"/>
      <c r="DY193" s="1656"/>
      <c r="DZ193" s="1656"/>
      <c r="EA193" s="1656"/>
      <c r="EB193" s="1656"/>
      <c r="EC193" s="1656"/>
      <c r="ED193" s="1656"/>
      <c r="EE193" s="1656"/>
      <c r="EF193" s="1656"/>
      <c r="EG193" s="1656"/>
      <c r="EH193" s="1656"/>
      <c r="EI193" s="1656"/>
      <c r="EJ193" s="1656"/>
      <c r="EK193" s="1656"/>
      <c r="EL193" s="1656"/>
      <c r="EM193" s="1656"/>
      <c r="EN193" s="1656"/>
      <c r="EO193" s="1656"/>
      <c r="EP193" s="1656"/>
      <c r="EQ193" s="1656"/>
      <c r="ER193" s="1656"/>
      <c r="ES193" s="1656"/>
      <c r="ET193" s="1656"/>
      <c r="EU193" s="1656"/>
      <c r="EV193" s="1656"/>
      <c r="EW193" s="1656"/>
      <c r="EX193" s="1656"/>
      <c r="EY193" s="1656"/>
      <c r="EZ193" s="1656"/>
      <c r="FA193" s="1656"/>
      <c r="FB193" s="1656"/>
      <c r="FC193" s="1656"/>
      <c r="FD193" s="1656"/>
      <c r="FE193" s="1656"/>
      <c r="FF193" s="1656"/>
    </row>
    <row r="195" spans="6:162" s="1658" customFormat="1" ht="15.75" customHeight="1">
      <c r="F195" s="1656"/>
      <c r="G195" s="1656"/>
      <c r="H195" s="1656"/>
      <c r="I195" s="1656"/>
      <c r="J195" s="1656"/>
      <c r="K195" s="1656"/>
      <c r="L195" s="1656"/>
      <c r="M195" s="1656"/>
      <c r="N195" s="1656"/>
      <c r="O195" s="1656"/>
      <c r="P195" s="1656"/>
      <c r="Q195" s="1656"/>
      <c r="R195" s="1656"/>
      <c r="S195" s="1656"/>
      <c r="T195" s="1656"/>
      <c r="U195" s="1656"/>
      <c r="V195" s="1656"/>
      <c r="W195" s="1656"/>
      <c r="X195" s="1656"/>
      <c r="Y195" s="1656"/>
      <c r="AA195" s="1656"/>
      <c r="AC195" s="1656"/>
      <c r="AD195" s="1656"/>
      <c r="AE195" s="1656"/>
      <c r="AF195" s="1656"/>
      <c r="AG195" s="1656"/>
      <c r="AH195" s="1657"/>
      <c r="AI195" s="1657"/>
      <c r="AJ195" s="1656"/>
      <c r="AK195" s="1656"/>
      <c r="AL195" s="1656"/>
      <c r="AM195" s="1656"/>
      <c r="AN195" s="1656"/>
      <c r="AO195" s="1656"/>
      <c r="AP195" s="1656"/>
      <c r="AQ195" s="1656"/>
      <c r="AR195" s="1656"/>
      <c r="AS195" s="1656"/>
      <c r="AT195" s="1656"/>
      <c r="AU195" s="1656"/>
      <c r="AV195" s="1656"/>
      <c r="AW195" s="1656"/>
      <c r="AX195" s="1656"/>
      <c r="AY195" s="1656"/>
      <c r="AZ195" s="1656"/>
      <c r="BA195" s="1656"/>
      <c r="BB195" s="1656"/>
      <c r="BC195" s="1656"/>
      <c r="BD195" s="1656"/>
      <c r="BE195" s="1656"/>
      <c r="BF195" s="1656"/>
      <c r="BG195" s="1656"/>
      <c r="BH195" s="1656"/>
      <c r="BI195" s="1656"/>
      <c r="BJ195" s="1656"/>
      <c r="BK195" s="1656"/>
      <c r="BL195" s="1656"/>
      <c r="BM195" s="1656"/>
      <c r="BN195" s="1656"/>
      <c r="BO195" s="1656"/>
      <c r="BP195" s="1656"/>
      <c r="BQ195" s="1656"/>
      <c r="BR195" s="1656"/>
      <c r="BS195" s="1656"/>
      <c r="BT195" s="1656"/>
      <c r="BU195" s="1656"/>
      <c r="BV195" s="1656"/>
      <c r="BW195" s="1656"/>
      <c r="BX195" s="1656"/>
      <c r="BY195" s="1656"/>
      <c r="BZ195" s="1656"/>
      <c r="CA195" s="1656"/>
      <c r="CB195" s="1656"/>
      <c r="CC195" s="1656"/>
      <c r="CD195" s="1656"/>
      <c r="CE195" s="1656"/>
      <c r="CF195" s="1656"/>
      <c r="CG195" s="1656"/>
      <c r="CH195" s="1656"/>
      <c r="CI195" s="1656"/>
      <c r="CJ195" s="1656"/>
      <c r="CK195" s="1656"/>
      <c r="CL195" s="1656"/>
      <c r="CM195" s="1656"/>
      <c r="CN195" s="1656"/>
      <c r="CO195" s="1656"/>
      <c r="CP195" s="1656"/>
      <c r="CQ195" s="1656"/>
      <c r="CR195" s="1656"/>
      <c r="CS195" s="1656"/>
      <c r="CT195" s="1656"/>
      <c r="CU195" s="1656"/>
      <c r="CV195" s="1656"/>
      <c r="CW195" s="1656"/>
      <c r="CX195" s="1656"/>
      <c r="CY195" s="1656"/>
      <c r="CZ195" s="1656"/>
      <c r="DA195" s="1656"/>
      <c r="DB195" s="1656"/>
      <c r="DC195" s="1656"/>
      <c r="DD195" s="1656"/>
      <c r="DE195" s="1656"/>
      <c r="DF195" s="1656"/>
      <c r="DG195" s="1656"/>
      <c r="DH195" s="1656"/>
      <c r="DI195" s="1656"/>
      <c r="DJ195" s="1656"/>
      <c r="DK195" s="1656"/>
      <c r="DL195" s="1656"/>
      <c r="DM195" s="1656"/>
      <c r="DN195" s="1656"/>
      <c r="DO195" s="1656"/>
      <c r="DP195" s="1656"/>
      <c r="DQ195" s="1656"/>
      <c r="DR195" s="1656"/>
      <c r="DS195" s="1656"/>
      <c r="DT195" s="1656"/>
      <c r="DU195" s="1656"/>
      <c r="DV195" s="1656"/>
      <c r="DW195" s="1656"/>
      <c r="DX195" s="1656"/>
      <c r="DY195" s="1656"/>
      <c r="DZ195" s="1656"/>
      <c r="EA195" s="1656"/>
      <c r="EB195" s="1656"/>
      <c r="EC195" s="1656"/>
      <c r="ED195" s="1656"/>
      <c r="EE195" s="1656"/>
      <c r="EF195" s="1656"/>
      <c r="EG195" s="1656"/>
      <c r="EH195" s="1656"/>
      <c r="EI195" s="1656"/>
      <c r="EJ195" s="1656"/>
      <c r="EK195" s="1656"/>
      <c r="EL195" s="1656"/>
      <c r="EM195" s="1656"/>
      <c r="EN195" s="1656"/>
      <c r="EO195" s="1656"/>
      <c r="EP195" s="1656"/>
      <c r="EQ195" s="1656"/>
      <c r="ER195" s="1656"/>
      <c r="ES195" s="1656"/>
      <c r="ET195" s="1656"/>
      <c r="EU195" s="1656"/>
      <c r="EV195" s="1656"/>
      <c r="EW195" s="1656"/>
      <c r="EX195" s="1656"/>
      <c r="EY195" s="1656"/>
      <c r="EZ195" s="1656"/>
      <c r="FA195" s="1656"/>
      <c r="FB195" s="1656"/>
      <c r="FC195" s="1656"/>
      <c r="FD195" s="1656"/>
      <c r="FE195" s="1656"/>
      <c r="FF195" s="1656"/>
    </row>
    <row r="197" spans="6:162" s="1658" customFormat="1" ht="15.75" customHeight="1">
      <c r="F197" s="1656"/>
      <c r="G197" s="1656"/>
      <c r="H197" s="1656"/>
      <c r="I197" s="1656"/>
      <c r="J197" s="1656"/>
      <c r="K197" s="1656"/>
      <c r="L197" s="1656"/>
      <c r="M197" s="1656"/>
      <c r="N197" s="1656"/>
      <c r="O197" s="1656"/>
      <c r="P197" s="1656"/>
      <c r="Q197" s="1656"/>
      <c r="R197" s="1656"/>
      <c r="S197" s="1656"/>
      <c r="T197" s="1656"/>
      <c r="U197" s="1656"/>
      <c r="V197" s="1656"/>
      <c r="W197" s="1656"/>
      <c r="X197" s="1656"/>
      <c r="Y197" s="1656"/>
      <c r="AA197" s="1656"/>
      <c r="AC197" s="1656"/>
      <c r="AD197" s="1656"/>
      <c r="AE197" s="1656"/>
      <c r="AF197" s="1656"/>
      <c r="AG197" s="1656"/>
      <c r="AH197" s="1657"/>
      <c r="AI197" s="1657"/>
      <c r="AJ197" s="1656"/>
      <c r="AK197" s="1656"/>
      <c r="AL197" s="1656"/>
      <c r="AM197" s="1656"/>
      <c r="AN197" s="1656"/>
      <c r="AO197" s="1656"/>
      <c r="AP197" s="1656"/>
      <c r="AQ197" s="1656"/>
      <c r="AR197" s="1656"/>
      <c r="AS197" s="1656"/>
      <c r="AT197" s="1656"/>
      <c r="AU197" s="1656"/>
      <c r="AV197" s="1656"/>
      <c r="AW197" s="1656"/>
      <c r="AX197" s="1656"/>
      <c r="AY197" s="1656"/>
      <c r="AZ197" s="1656"/>
      <c r="BA197" s="1656"/>
      <c r="BB197" s="1656"/>
      <c r="BC197" s="1656"/>
      <c r="BD197" s="1656"/>
      <c r="BE197" s="1656"/>
      <c r="BF197" s="1656"/>
      <c r="BG197" s="1656"/>
      <c r="BH197" s="1656"/>
      <c r="BI197" s="1656"/>
      <c r="BJ197" s="1656"/>
      <c r="BK197" s="1656"/>
      <c r="BL197" s="1656"/>
      <c r="BM197" s="1656"/>
      <c r="BN197" s="1656"/>
      <c r="BO197" s="1656"/>
      <c r="BP197" s="1656"/>
      <c r="BQ197" s="1656"/>
      <c r="BR197" s="1656"/>
      <c r="BS197" s="1656"/>
      <c r="BT197" s="1656"/>
      <c r="BU197" s="1656"/>
      <c r="BV197" s="1656"/>
      <c r="BW197" s="1656"/>
      <c r="BX197" s="1656"/>
      <c r="BY197" s="1656"/>
      <c r="BZ197" s="1656"/>
      <c r="CA197" s="1656"/>
      <c r="CB197" s="1656"/>
      <c r="CC197" s="1656"/>
      <c r="CD197" s="1656"/>
      <c r="CE197" s="1656"/>
      <c r="CF197" s="1656"/>
      <c r="CG197" s="1656"/>
      <c r="CH197" s="1656"/>
      <c r="CI197" s="1656"/>
      <c r="CJ197" s="1656"/>
      <c r="CK197" s="1656"/>
      <c r="CL197" s="1656"/>
      <c r="CM197" s="1656"/>
      <c r="CN197" s="1656"/>
      <c r="CO197" s="1656"/>
      <c r="CP197" s="1656"/>
      <c r="CQ197" s="1656"/>
      <c r="CR197" s="1656"/>
      <c r="CS197" s="1656"/>
      <c r="CT197" s="1656"/>
      <c r="CU197" s="1656"/>
      <c r="CV197" s="1656"/>
      <c r="CW197" s="1656"/>
      <c r="CX197" s="1656"/>
      <c r="CY197" s="1656"/>
      <c r="CZ197" s="1656"/>
      <c r="DA197" s="1656"/>
      <c r="DB197" s="1656"/>
      <c r="DC197" s="1656"/>
      <c r="DD197" s="1656"/>
      <c r="DE197" s="1656"/>
      <c r="DF197" s="1656"/>
      <c r="DG197" s="1656"/>
      <c r="DH197" s="1656"/>
      <c r="DI197" s="1656"/>
      <c r="DJ197" s="1656"/>
      <c r="DK197" s="1656"/>
      <c r="DL197" s="1656"/>
      <c r="DM197" s="1656"/>
      <c r="DN197" s="1656"/>
      <c r="DO197" s="1656"/>
      <c r="DP197" s="1656"/>
      <c r="DQ197" s="1656"/>
      <c r="DR197" s="1656"/>
      <c r="DS197" s="1656"/>
      <c r="DT197" s="1656"/>
      <c r="DU197" s="1656"/>
      <c r="DV197" s="1656"/>
      <c r="DW197" s="1656"/>
      <c r="DX197" s="1656"/>
      <c r="DY197" s="1656"/>
      <c r="DZ197" s="1656"/>
      <c r="EA197" s="1656"/>
      <c r="EB197" s="1656"/>
      <c r="EC197" s="1656"/>
      <c r="ED197" s="1656"/>
      <c r="EE197" s="1656"/>
      <c r="EF197" s="1656"/>
      <c r="EG197" s="1656"/>
      <c r="EH197" s="1656"/>
      <c r="EI197" s="1656"/>
      <c r="EJ197" s="1656"/>
      <c r="EK197" s="1656"/>
      <c r="EL197" s="1656"/>
      <c r="EM197" s="1656"/>
      <c r="EN197" s="1656"/>
      <c r="EO197" s="1656"/>
      <c r="EP197" s="1656"/>
      <c r="EQ197" s="1656"/>
      <c r="ER197" s="1656"/>
      <c r="ES197" s="1656"/>
      <c r="ET197" s="1656"/>
      <c r="EU197" s="1656"/>
      <c r="EV197" s="1656"/>
      <c r="EW197" s="1656"/>
      <c r="EX197" s="1656"/>
      <c r="EY197" s="1656"/>
      <c r="EZ197" s="1656"/>
      <c r="FA197" s="1656"/>
      <c r="FB197" s="1656"/>
      <c r="FC197" s="1656"/>
      <c r="FD197" s="1656"/>
      <c r="FE197" s="1656"/>
      <c r="FF197" s="1656"/>
    </row>
    <row r="199" spans="6:162" s="1658" customFormat="1" ht="15.75" customHeight="1">
      <c r="F199" s="1656"/>
      <c r="G199" s="1656"/>
      <c r="H199" s="1656"/>
      <c r="I199" s="1656"/>
      <c r="J199" s="1656"/>
      <c r="K199" s="1656"/>
      <c r="L199" s="1656"/>
      <c r="M199" s="1656"/>
      <c r="N199" s="1656"/>
      <c r="O199" s="1656"/>
      <c r="P199" s="1656"/>
      <c r="Q199" s="1656"/>
      <c r="R199" s="1656"/>
      <c r="S199" s="1656"/>
      <c r="T199" s="1656"/>
      <c r="U199" s="1656"/>
      <c r="V199" s="1656"/>
      <c r="W199" s="1656"/>
      <c r="X199" s="1656"/>
      <c r="Y199" s="1656"/>
      <c r="AA199" s="1656"/>
      <c r="AC199" s="1656"/>
      <c r="AD199" s="1656"/>
      <c r="AE199" s="1656"/>
      <c r="AF199" s="1656"/>
      <c r="AG199" s="1656"/>
      <c r="AH199" s="1657"/>
      <c r="AI199" s="1657"/>
      <c r="AJ199" s="1656"/>
      <c r="AK199" s="1656"/>
      <c r="AL199" s="1656"/>
      <c r="AM199" s="1656"/>
      <c r="AN199" s="1656"/>
      <c r="AO199" s="1656"/>
      <c r="AP199" s="1656"/>
      <c r="AQ199" s="1656"/>
      <c r="AR199" s="1656"/>
      <c r="AS199" s="1656"/>
      <c r="AT199" s="1656"/>
      <c r="AU199" s="1656"/>
      <c r="AV199" s="1656"/>
      <c r="AW199" s="1656"/>
      <c r="AX199" s="1656"/>
      <c r="AY199" s="1656"/>
      <c r="AZ199" s="1656"/>
      <c r="BA199" s="1656"/>
      <c r="BB199" s="1656"/>
      <c r="BC199" s="1656"/>
      <c r="BD199" s="1656"/>
      <c r="BE199" s="1656"/>
      <c r="BF199" s="1656"/>
      <c r="BG199" s="1656"/>
      <c r="BH199" s="1656"/>
      <c r="BI199" s="1656"/>
      <c r="BJ199" s="1656"/>
      <c r="BK199" s="1656"/>
      <c r="BL199" s="1656"/>
      <c r="BM199" s="1656"/>
      <c r="BN199" s="1656"/>
      <c r="BO199" s="1656"/>
      <c r="BP199" s="1656"/>
      <c r="BQ199" s="1656"/>
      <c r="BR199" s="1656"/>
      <c r="BS199" s="1656"/>
      <c r="BT199" s="1656"/>
      <c r="BU199" s="1656"/>
      <c r="BV199" s="1656"/>
      <c r="BW199" s="1656"/>
      <c r="BX199" s="1656"/>
      <c r="BY199" s="1656"/>
      <c r="BZ199" s="1656"/>
      <c r="CA199" s="1656"/>
      <c r="CB199" s="1656"/>
      <c r="CC199" s="1656"/>
      <c r="CD199" s="1656"/>
      <c r="CE199" s="1656"/>
      <c r="CF199" s="1656"/>
      <c r="CG199" s="1656"/>
      <c r="CH199" s="1656"/>
      <c r="CI199" s="1656"/>
      <c r="CJ199" s="1656"/>
      <c r="CK199" s="1656"/>
      <c r="CL199" s="1656"/>
      <c r="CM199" s="1656"/>
      <c r="CN199" s="1656"/>
      <c r="CO199" s="1656"/>
      <c r="CP199" s="1656"/>
      <c r="CQ199" s="1656"/>
      <c r="CR199" s="1656"/>
      <c r="CS199" s="1656"/>
      <c r="CT199" s="1656"/>
      <c r="CU199" s="1656"/>
      <c r="CV199" s="1656"/>
      <c r="CW199" s="1656"/>
      <c r="CX199" s="1656"/>
      <c r="CY199" s="1656"/>
      <c r="CZ199" s="1656"/>
      <c r="DA199" s="1656"/>
      <c r="DB199" s="1656"/>
      <c r="DC199" s="1656"/>
      <c r="DD199" s="1656"/>
      <c r="DE199" s="1656"/>
      <c r="DF199" s="1656"/>
      <c r="DG199" s="1656"/>
      <c r="DH199" s="1656"/>
      <c r="DI199" s="1656"/>
      <c r="DJ199" s="1656"/>
      <c r="DK199" s="1656"/>
      <c r="DL199" s="1656"/>
      <c r="DM199" s="1656"/>
      <c r="DN199" s="1656"/>
      <c r="DO199" s="1656"/>
      <c r="DP199" s="1656"/>
      <c r="DQ199" s="1656"/>
      <c r="DR199" s="1656"/>
      <c r="DS199" s="1656"/>
      <c r="DT199" s="1656"/>
      <c r="DU199" s="1656"/>
      <c r="DV199" s="1656"/>
      <c r="DW199" s="1656"/>
      <c r="DX199" s="1656"/>
      <c r="DY199" s="1656"/>
      <c r="DZ199" s="1656"/>
      <c r="EA199" s="1656"/>
      <c r="EB199" s="1656"/>
      <c r="EC199" s="1656"/>
      <c r="ED199" s="1656"/>
      <c r="EE199" s="1656"/>
      <c r="EF199" s="1656"/>
      <c r="EG199" s="1656"/>
      <c r="EH199" s="1656"/>
      <c r="EI199" s="1656"/>
      <c r="EJ199" s="1656"/>
      <c r="EK199" s="1656"/>
      <c r="EL199" s="1656"/>
      <c r="EM199" s="1656"/>
      <c r="EN199" s="1656"/>
      <c r="EO199" s="1656"/>
      <c r="EP199" s="1656"/>
      <c r="EQ199" s="1656"/>
      <c r="ER199" s="1656"/>
      <c r="ES199" s="1656"/>
      <c r="ET199" s="1656"/>
      <c r="EU199" s="1656"/>
      <c r="EV199" s="1656"/>
      <c r="EW199" s="1656"/>
      <c r="EX199" s="1656"/>
      <c r="EY199" s="1656"/>
      <c r="EZ199" s="1656"/>
      <c r="FA199" s="1656"/>
      <c r="FB199" s="1656"/>
      <c r="FC199" s="1656"/>
      <c r="FD199" s="1656"/>
      <c r="FE199" s="1656"/>
      <c r="FF199" s="1656"/>
    </row>
    <row r="201" spans="6:162" s="1658" customFormat="1" ht="15.75" customHeight="1">
      <c r="F201" s="1656"/>
      <c r="G201" s="1656"/>
      <c r="H201" s="1656"/>
      <c r="I201" s="1656"/>
      <c r="J201" s="1656"/>
      <c r="K201" s="1656"/>
      <c r="L201" s="1656"/>
      <c r="M201" s="1656"/>
      <c r="N201" s="1656"/>
      <c r="O201" s="1656"/>
      <c r="P201" s="1656"/>
      <c r="Q201" s="1656"/>
      <c r="R201" s="1656"/>
      <c r="S201" s="1656"/>
      <c r="T201" s="1656"/>
      <c r="U201" s="1656"/>
      <c r="V201" s="1656"/>
      <c r="W201" s="1656"/>
      <c r="X201" s="1656"/>
      <c r="Y201" s="1656"/>
      <c r="AA201" s="1656"/>
      <c r="AC201" s="1656"/>
      <c r="AD201" s="1656"/>
      <c r="AE201" s="1656"/>
      <c r="AF201" s="1656"/>
      <c r="AG201" s="1656"/>
      <c r="AH201" s="1657"/>
      <c r="AI201" s="1657"/>
      <c r="AJ201" s="1656"/>
      <c r="AK201" s="1656"/>
      <c r="AL201" s="1656"/>
      <c r="AM201" s="1656"/>
      <c r="AN201" s="1656"/>
      <c r="AO201" s="1656"/>
      <c r="AP201" s="1656"/>
      <c r="AQ201" s="1656"/>
      <c r="AR201" s="1656"/>
      <c r="AS201" s="1656"/>
      <c r="AT201" s="1656"/>
      <c r="AU201" s="1656"/>
      <c r="AV201" s="1656"/>
      <c r="AW201" s="1656"/>
      <c r="AX201" s="1656"/>
      <c r="AY201" s="1656"/>
      <c r="AZ201" s="1656"/>
      <c r="BA201" s="1656"/>
      <c r="BB201" s="1656"/>
      <c r="BC201" s="1656"/>
      <c r="BD201" s="1656"/>
      <c r="BE201" s="1656"/>
      <c r="BF201" s="1656"/>
      <c r="BG201" s="1656"/>
      <c r="BH201" s="1656"/>
      <c r="BI201" s="1656"/>
      <c r="BJ201" s="1656"/>
      <c r="BK201" s="1656"/>
      <c r="BL201" s="1656"/>
      <c r="BM201" s="1656"/>
      <c r="BN201" s="1656"/>
      <c r="BO201" s="1656"/>
      <c r="BP201" s="1656"/>
      <c r="BQ201" s="1656"/>
      <c r="BR201" s="1656"/>
      <c r="BS201" s="1656"/>
      <c r="BT201" s="1656"/>
      <c r="BU201" s="1656"/>
      <c r="BV201" s="1656"/>
      <c r="BW201" s="1656"/>
      <c r="BX201" s="1656"/>
      <c r="BY201" s="1656"/>
      <c r="BZ201" s="1656"/>
      <c r="CA201" s="1656"/>
      <c r="CB201" s="1656"/>
      <c r="CC201" s="1656"/>
      <c r="CD201" s="1656"/>
      <c r="CE201" s="1656"/>
      <c r="CF201" s="1656"/>
      <c r="CG201" s="1656"/>
      <c r="CH201" s="1656"/>
      <c r="CI201" s="1656"/>
      <c r="CJ201" s="1656"/>
      <c r="CK201" s="1656"/>
      <c r="CL201" s="1656"/>
      <c r="CM201" s="1656"/>
      <c r="CN201" s="1656"/>
      <c r="CO201" s="1656"/>
      <c r="CP201" s="1656"/>
      <c r="CQ201" s="1656"/>
      <c r="CR201" s="1656"/>
      <c r="CS201" s="1656"/>
      <c r="CT201" s="1656"/>
      <c r="CU201" s="1656"/>
      <c r="CV201" s="1656"/>
      <c r="CW201" s="1656"/>
      <c r="CX201" s="1656"/>
      <c r="CY201" s="1656"/>
      <c r="CZ201" s="1656"/>
      <c r="DA201" s="1656"/>
      <c r="DB201" s="1656"/>
      <c r="DC201" s="1656"/>
      <c r="DD201" s="1656"/>
      <c r="DE201" s="1656"/>
      <c r="DF201" s="1656"/>
      <c r="DG201" s="1656"/>
      <c r="DH201" s="1656"/>
      <c r="DI201" s="1656"/>
      <c r="DJ201" s="1656"/>
      <c r="DK201" s="1656"/>
      <c r="DL201" s="1656"/>
      <c r="DM201" s="1656"/>
      <c r="DN201" s="1656"/>
      <c r="DO201" s="1656"/>
      <c r="DP201" s="1656"/>
      <c r="DQ201" s="1656"/>
      <c r="DR201" s="1656"/>
      <c r="DS201" s="1656"/>
      <c r="DT201" s="1656"/>
      <c r="DU201" s="1656"/>
      <c r="DV201" s="1656"/>
      <c r="DW201" s="1656"/>
      <c r="DX201" s="1656"/>
      <c r="DY201" s="1656"/>
      <c r="DZ201" s="1656"/>
      <c r="EA201" s="1656"/>
      <c r="EB201" s="1656"/>
      <c r="EC201" s="1656"/>
      <c r="ED201" s="1656"/>
      <c r="EE201" s="1656"/>
      <c r="EF201" s="1656"/>
      <c r="EG201" s="1656"/>
      <c r="EH201" s="1656"/>
      <c r="EI201" s="1656"/>
      <c r="EJ201" s="1656"/>
      <c r="EK201" s="1656"/>
      <c r="EL201" s="1656"/>
      <c r="EM201" s="1656"/>
      <c r="EN201" s="1656"/>
      <c r="EO201" s="1656"/>
      <c r="EP201" s="1656"/>
      <c r="EQ201" s="1656"/>
      <c r="ER201" s="1656"/>
      <c r="ES201" s="1656"/>
      <c r="ET201" s="1656"/>
      <c r="EU201" s="1656"/>
      <c r="EV201" s="1656"/>
      <c r="EW201" s="1656"/>
      <c r="EX201" s="1656"/>
      <c r="EY201" s="1656"/>
      <c r="EZ201" s="1656"/>
      <c r="FA201" s="1656"/>
      <c r="FB201" s="1656"/>
      <c r="FC201" s="1656"/>
      <c r="FD201" s="1656"/>
      <c r="FE201" s="1656"/>
      <c r="FF201" s="1656"/>
    </row>
    <row r="203" spans="6:162" s="1658" customFormat="1" ht="15.75" customHeight="1">
      <c r="F203" s="1656"/>
      <c r="G203" s="1656"/>
      <c r="H203" s="1656"/>
      <c r="I203" s="1656"/>
      <c r="J203" s="1656"/>
      <c r="K203" s="1656"/>
      <c r="L203" s="1656"/>
      <c r="M203" s="1656"/>
      <c r="N203" s="1656"/>
      <c r="O203" s="1656"/>
      <c r="P203" s="1656"/>
      <c r="Q203" s="1656"/>
      <c r="R203" s="1656"/>
      <c r="S203" s="1656"/>
      <c r="T203" s="1656"/>
      <c r="U203" s="1656"/>
      <c r="V203" s="1656"/>
      <c r="W203" s="1656"/>
      <c r="X203" s="1656"/>
      <c r="Y203" s="1656"/>
      <c r="AA203" s="1656"/>
      <c r="AC203" s="1656"/>
      <c r="AD203" s="1656"/>
      <c r="AE203" s="1656"/>
      <c r="AF203" s="1656"/>
      <c r="AG203" s="1656"/>
      <c r="AH203" s="1657"/>
      <c r="AI203" s="1657"/>
      <c r="AJ203" s="1656"/>
      <c r="AK203" s="1656"/>
      <c r="AL203" s="1656"/>
      <c r="AM203" s="1656"/>
      <c r="AN203" s="1656"/>
      <c r="AO203" s="1656"/>
      <c r="AP203" s="1656"/>
      <c r="AQ203" s="1656"/>
      <c r="AR203" s="1656"/>
      <c r="AS203" s="1656"/>
      <c r="AT203" s="1656"/>
      <c r="AU203" s="1656"/>
      <c r="AV203" s="1656"/>
      <c r="AW203" s="1656"/>
      <c r="AX203" s="1656"/>
      <c r="AY203" s="1656"/>
      <c r="AZ203" s="1656"/>
      <c r="BA203" s="1656"/>
      <c r="BB203" s="1656"/>
      <c r="BC203" s="1656"/>
      <c r="BD203" s="1656"/>
      <c r="BE203" s="1656"/>
      <c r="BF203" s="1656"/>
      <c r="BG203" s="1656"/>
      <c r="BH203" s="1656"/>
      <c r="BI203" s="1656"/>
      <c r="BJ203" s="1656"/>
      <c r="BK203" s="1656"/>
      <c r="BL203" s="1656"/>
      <c r="BM203" s="1656"/>
      <c r="BN203" s="1656"/>
      <c r="BO203" s="1656"/>
      <c r="BP203" s="1656"/>
      <c r="BQ203" s="1656"/>
      <c r="BR203" s="1656"/>
      <c r="BS203" s="1656"/>
      <c r="BT203" s="1656"/>
      <c r="BU203" s="1656"/>
      <c r="BV203" s="1656"/>
      <c r="BW203" s="1656"/>
      <c r="BX203" s="1656"/>
      <c r="BY203" s="1656"/>
      <c r="BZ203" s="1656"/>
      <c r="CA203" s="1656"/>
      <c r="CB203" s="1656"/>
      <c r="CC203" s="1656"/>
      <c r="CD203" s="1656"/>
      <c r="CE203" s="1656"/>
      <c r="CF203" s="1656"/>
      <c r="CG203" s="1656"/>
      <c r="CH203" s="1656"/>
      <c r="CI203" s="1656"/>
      <c r="CJ203" s="1656"/>
      <c r="CK203" s="1656"/>
      <c r="CL203" s="1656"/>
      <c r="CM203" s="1656"/>
      <c r="CN203" s="1656"/>
      <c r="CO203" s="1656"/>
      <c r="CP203" s="1656"/>
      <c r="CQ203" s="1656"/>
      <c r="CR203" s="1656"/>
      <c r="CS203" s="1656"/>
      <c r="CT203" s="1656"/>
      <c r="CU203" s="1656"/>
      <c r="CV203" s="1656"/>
      <c r="CW203" s="1656"/>
      <c r="CX203" s="1656"/>
      <c r="CY203" s="1656"/>
      <c r="CZ203" s="1656"/>
      <c r="DA203" s="1656"/>
      <c r="DB203" s="1656"/>
      <c r="DC203" s="1656"/>
      <c r="DD203" s="1656"/>
      <c r="DE203" s="1656"/>
      <c r="DF203" s="1656"/>
      <c r="DG203" s="1656"/>
      <c r="DH203" s="1656"/>
      <c r="DI203" s="1656"/>
      <c r="DJ203" s="1656"/>
      <c r="DK203" s="1656"/>
      <c r="DL203" s="1656"/>
      <c r="DM203" s="1656"/>
      <c r="DN203" s="1656"/>
      <c r="DO203" s="1656"/>
      <c r="DP203" s="1656"/>
      <c r="DQ203" s="1656"/>
      <c r="DR203" s="1656"/>
      <c r="DS203" s="1656"/>
      <c r="DT203" s="1656"/>
      <c r="DU203" s="1656"/>
      <c r="DV203" s="1656"/>
      <c r="DW203" s="1656"/>
      <c r="DX203" s="1656"/>
      <c r="DY203" s="1656"/>
      <c r="DZ203" s="1656"/>
      <c r="EA203" s="1656"/>
      <c r="EB203" s="1656"/>
      <c r="EC203" s="1656"/>
      <c r="ED203" s="1656"/>
      <c r="EE203" s="1656"/>
      <c r="EF203" s="1656"/>
      <c r="EG203" s="1656"/>
      <c r="EH203" s="1656"/>
      <c r="EI203" s="1656"/>
      <c r="EJ203" s="1656"/>
      <c r="EK203" s="1656"/>
      <c r="EL203" s="1656"/>
      <c r="EM203" s="1656"/>
      <c r="EN203" s="1656"/>
      <c r="EO203" s="1656"/>
      <c r="EP203" s="1656"/>
      <c r="EQ203" s="1656"/>
      <c r="ER203" s="1656"/>
      <c r="ES203" s="1656"/>
      <c r="ET203" s="1656"/>
      <c r="EU203" s="1656"/>
      <c r="EV203" s="1656"/>
      <c r="EW203" s="1656"/>
      <c r="EX203" s="1656"/>
      <c r="EY203" s="1656"/>
      <c r="EZ203" s="1656"/>
      <c r="FA203" s="1656"/>
      <c r="FB203" s="1656"/>
      <c r="FC203" s="1656"/>
      <c r="FD203" s="1656"/>
      <c r="FE203" s="1656"/>
      <c r="FF203" s="1656"/>
    </row>
    <row r="205" spans="6:162" s="1658" customFormat="1" ht="15.75" customHeight="1">
      <c r="F205" s="1656"/>
      <c r="G205" s="1656"/>
      <c r="H205" s="1656"/>
      <c r="I205" s="1656"/>
      <c r="J205" s="1656"/>
      <c r="K205" s="1656"/>
      <c r="L205" s="1656"/>
      <c r="M205" s="1656"/>
      <c r="N205" s="1656"/>
      <c r="O205" s="1656"/>
      <c r="P205" s="1656"/>
      <c r="Q205" s="1656"/>
      <c r="R205" s="1656"/>
      <c r="S205" s="1656"/>
      <c r="T205" s="1656"/>
      <c r="U205" s="1656"/>
      <c r="V205" s="1656"/>
      <c r="W205" s="1656"/>
      <c r="X205" s="1656"/>
      <c r="Y205" s="1656"/>
      <c r="AA205" s="1656"/>
      <c r="AC205" s="1656"/>
      <c r="AD205" s="1656"/>
      <c r="AE205" s="1656"/>
      <c r="AF205" s="1656"/>
      <c r="AG205" s="1656"/>
      <c r="AH205" s="1657"/>
      <c r="AI205" s="1657"/>
      <c r="AJ205" s="1656"/>
      <c r="AK205" s="1656"/>
      <c r="AL205" s="1656"/>
      <c r="AM205" s="1656"/>
      <c r="AN205" s="1656"/>
      <c r="AO205" s="1656"/>
      <c r="AP205" s="1656"/>
      <c r="AQ205" s="1656"/>
      <c r="AR205" s="1656"/>
      <c r="AS205" s="1656"/>
      <c r="AT205" s="1656"/>
      <c r="AU205" s="1656"/>
      <c r="AV205" s="1656"/>
      <c r="AW205" s="1656"/>
      <c r="AX205" s="1656"/>
      <c r="AY205" s="1656"/>
      <c r="AZ205" s="1656"/>
      <c r="BA205" s="1656"/>
      <c r="BB205" s="1656"/>
      <c r="BC205" s="1656"/>
      <c r="BD205" s="1656"/>
      <c r="BE205" s="1656"/>
      <c r="BF205" s="1656"/>
      <c r="BG205" s="1656"/>
      <c r="BH205" s="1656"/>
      <c r="BI205" s="1656"/>
      <c r="BJ205" s="1656"/>
      <c r="BK205" s="1656"/>
      <c r="BL205" s="1656"/>
      <c r="BM205" s="1656"/>
      <c r="BN205" s="1656"/>
      <c r="BO205" s="1656"/>
      <c r="BP205" s="1656"/>
      <c r="BQ205" s="1656"/>
      <c r="BR205" s="1656"/>
      <c r="BS205" s="1656"/>
      <c r="BT205" s="1656"/>
      <c r="BU205" s="1656"/>
      <c r="BV205" s="1656"/>
      <c r="BW205" s="1656"/>
      <c r="BX205" s="1656"/>
      <c r="BY205" s="1656"/>
      <c r="BZ205" s="1656"/>
      <c r="CA205" s="1656"/>
      <c r="CB205" s="1656"/>
      <c r="CC205" s="1656"/>
      <c r="CD205" s="1656"/>
      <c r="CE205" s="1656"/>
      <c r="CF205" s="1656"/>
      <c r="CG205" s="1656"/>
      <c r="CH205" s="1656"/>
      <c r="CI205" s="1656"/>
      <c r="CJ205" s="1656"/>
      <c r="CK205" s="1656"/>
      <c r="CL205" s="1656"/>
      <c r="CM205" s="1656"/>
      <c r="CN205" s="1656"/>
      <c r="CO205" s="1656"/>
      <c r="CP205" s="1656"/>
      <c r="CQ205" s="1656"/>
      <c r="CR205" s="1656"/>
      <c r="CS205" s="1656"/>
      <c r="CT205" s="1656"/>
      <c r="CU205" s="1656"/>
      <c r="CV205" s="1656"/>
      <c r="CW205" s="1656"/>
      <c r="CX205" s="1656"/>
      <c r="CY205" s="1656"/>
      <c r="CZ205" s="1656"/>
      <c r="DA205" s="1656"/>
      <c r="DB205" s="1656"/>
      <c r="DC205" s="1656"/>
      <c r="DD205" s="1656"/>
      <c r="DE205" s="1656"/>
      <c r="DF205" s="1656"/>
      <c r="DG205" s="1656"/>
      <c r="DH205" s="1656"/>
      <c r="DI205" s="1656"/>
      <c r="DJ205" s="1656"/>
      <c r="DK205" s="1656"/>
      <c r="DL205" s="1656"/>
      <c r="DM205" s="1656"/>
      <c r="DN205" s="1656"/>
      <c r="DO205" s="1656"/>
      <c r="DP205" s="1656"/>
      <c r="DQ205" s="1656"/>
      <c r="DR205" s="1656"/>
      <c r="DS205" s="1656"/>
      <c r="DT205" s="1656"/>
      <c r="DU205" s="1656"/>
      <c r="DV205" s="1656"/>
      <c r="DW205" s="1656"/>
      <c r="DX205" s="1656"/>
      <c r="DY205" s="1656"/>
      <c r="DZ205" s="1656"/>
      <c r="EA205" s="1656"/>
      <c r="EB205" s="1656"/>
      <c r="EC205" s="1656"/>
      <c r="ED205" s="1656"/>
      <c r="EE205" s="1656"/>
      <c r="EF205" s="1656"/>
      <c r="EG205" s="1656"/>
      <c r="EH205" s="1656"/>
      <c r="EI205" s="1656"/>
      <c r="EJ205" s="1656"/>
      <c r="EK205" s="1656"/>
      <c r="EL205" s="1656"/>
      <c r="EM205" s="1656"/>
      <c r="EN205" s="1656"/>
      <c r="EO205" s="1656"/>
      <c r="EP205" s="1656"/>
      <c r="EQ205" s="1656"/>
      <c r="ER205" s="1656"/>
      <c r="ES205" s="1656"/>
      <c r="ET205" s="1656"/>
      <c r="EU205" s="1656"/>
      <c r="EV205" s="1656"/>
      <c r="EW205" s="1656"/>
      <c r="EX205" s="1656"/>
      <c r="EY205" s="1656"/>
      <c r="EZ205" s="1656"/>
      <c r="FA205" s="1656"/>
      <c r="FB205" s="1656"/>
      <c r="FC205" s="1656"/>
      <c r="FD205" s="1656"/>
      <c r="FE205" s="1656"/>
      <c r="FF205" s="1656"/>
    </row>
    <row r="207" spans="6:162" s="1658" customFormat="1" ht="15.75" customHeight="1">
      <c r="F207" s="1656"/>
      <c r="G207" s="1656"/>
      <c r="H207" s="1656"/>
      <c r="I207" s="1656"/>
      <c r="J207" s="1656"/>
      <c r="K207" s="1656"/>
      <c r="L207" s="1656"/>
      <c r="M207" s="1656"/>
      <c r="N207" s="1656"/>
      <c r="O207" s="1656"/>
      <c r="P207" s="1656"/>
      <c r="Q207" s="1656"/>
      <c r="R207" s="1656"/>
      <c r="S207" s="1656"/>
      <c r="T207" s="1656"/>
      <c r="U207" s="1656"/>
      <c r="V207" s="1656"/>
      <c r="W207" s="1656"/>
      <c r="X207" s="1656"/>
      <c r="Y207" s="1656"/>
      <c r="AA207" s="1656"/>
      <c r="AC207" s="1656"/>
      <c r="AD207" s="1656"/>
      <c r="AE207" s="1656"/>
      <c r="AF207" s="1656"/>
      <c r="AG207" s="1656"/>
      <c r="AH207" s="1657"/>
      <c r="AI207" s="1657"/>
      <c r="AJ207" s="1656"/>
      <c r="AK207" s="1656"/>
      <c r="AL207" s="1656"/>
      <c r="AM207" s="1656"/>
      <c r="AN207" s="1656"/>
      <c r="AO207" s="1656"/>
      <c r="AP207" s="1656"/>
      <c r="AQ207" s="1656"/>
      <c r="AR207" s="1656"/>
      <c r="AS207" s="1656"/>
      <c r="AT207" s="1656"/>
      <c r="AU207" s="1656"/>
      <c r="AV207" s="1656"/>
      <c r="AW207" s="1656"/>
      <c r="AX207" s="1656"/>
      <c r="AY207" s="1656"/>
      <c r="AZ207" s="1656"/>
      <c r="BA207" s="1656"/>
      <c r="BB207" s="1656"/>
      <c r="BC207" s="1656"/>
      <c r="BD207" s="1656"/>
      <c r="BE207" s="1656"/>
      <c r="BF207" s="1656"/>
      <c r="BG207" s="1656"/>
      <c r="BH207" s="1656"/>
      <c r="BI207" s="1656"/>
      <c r="BJ207" s="1656"/>
      <c r="BK207" s="1656"/>
      <c r="BL207" s="1656"/>
      <c r="BM207" s="1656"/>
      <c r="BN207" s="1656"/>
      <c r="BO207" s="1656"/>
      <c r="BP207" s="1656"/>
      <c r="BQ207" s="1656"/>
      <c r="BR207" s="1656"/>
      <c r="BS207" s="1656"/>
      <c r="BT207" s="1656"/>
      <c r="BU207" s="1656"/>
      <c r="BV207" s="1656"/>
      <c r="BW207" s="1656"/>
      <c r="BX207" s="1656"/>
      <c r="BY207" s="1656"/>
      <c r="BZ207" s="1656"/>
      <c r="CA207" s="1656"/>
      <c r="CB207" s="1656"/>
      <c r="CC207" s="1656"/>
      <c r="CD207" s="1656"/>
      <c r="CE207" s="1656"/>
      <c r="CF207" s="1656"/>
      <c r="CG207" s="1656"/>
      <c r="CH207" s="1656"/>
      <c r="CI207" s="1656"/>
      <c r="CJ207" s="1656"/>
      <c r="CK207" s="1656"/>
      <c r="CL207" s="1656"/>
      <c r="CM207" s="1656"/>
      <c r="CN207" s="1656"/>
      <c r="CO207" s="1656"/>
      <c r="CP207" s="1656"/>
      <c r="CQ207" s="1656"/>
      <c r="CR207" s="1656"/>
      <c r="CS207" s="1656"/>
      <c r="CT207" s="1656"/>
      <c r="CU207" s="1656"/>
      <c r="CV207" s="1656"/>
      <c r="CW207" s="1656"/>
      <c r="CX207" s="1656"/>
      <c r="CY207" s="1656"/>
      <c r="CZ207" s="1656"/>
      <c r="DA207" s="1656"/>
      <c r="DB207" s="1656"/>
      <c r="DC207" s="1656"/>
      <c r="DD207" s="1656"/>
      <c r="DE207" s="1656"/>
      <c r="DF207" s="1656"/>
      <c r="DG207" s="1656"/>
      <c r="DH207" s="1656"/>
      <c r="DI207" s="1656"/>
      <c r="DJ207" s="1656"/>
      <c r="DK207" s="1656"/>
      <c r="DL207" s="1656"/>
      <c r="DM207" s="1656"/>
      <c r="DN207" s="1656"/>
      <c r="DO207" s="1656"/>
      <c r="DP207" s="1656"/>
      <c r="DQ207" s="1656"/>
      <c r="DR207" s="1656"/>
      <c r="DS207" s="1656"/>
      <c r="DT207" s="1656"/>
      <c r="DU207" s="1656"/>
      <c r="DV207" s="1656"/>
      <c r="DW207" s="1656"/>
      <c r="DX207" s="1656"/>
      <c r="DY207" s="1656"/>
      <c r="DZ207" s="1656"/>
      <c r="EA207" s="1656"/>
      <c r="EB207" s="1656"/>
      <c r="EC207" s="1656"/>
      <c r="ED207" s="1656"/>
      <c r="EE207" s="1656"/>
      <c r="EF207" s="1656"/>
      <c r="EG207" s="1656"/>
      <c r="EH207" s="1656"/>
      <c r="EI207" s="1656"/>
      <c r="EJ207" s="1656"/>
      <c r="EK207" s="1656"/>
      <c r="EL207" s="1656"/>
      <c r="EM207" s="1656"/>
      <c r="EN207" s="1656"/>
      <c r="EO207" s="1656"/>
      <c r="EP207" s="1656"/>
      <c r="EQ207" s="1656"/>
      <c r="ER207" s="1656"/>
      <c r="ES207" s="1656"/>
      <c r="ET207" s="1656"/>
      <c r="EU207" s="1656"/>
      <c r="EV207" s="1656"/>
      <c r="EW207" s="1656"/>
      <c r="EX207" s="1656"/>
      <c r="EY207" s="1656"/>
      <c r="EZ207" s="1656"/>
      <c r="FA207" s="1656"/>
      <c r="FB207" s="1656"/>
      <c r="FC207" s="1656"/>
      <c r="FD207" s="1656"/>
      <c r="FE207" s="1656"/>
      <c r="FF207" s="1656"/>
    </row>
    <row r="209" spans="6:162" s="1658" customFormat="1" ht="15.75" customHeight="1">
      <c r="F209" s="1656"/>
      <c r="G209" s="1656"/>
      <c r="H209" s="1656"/>
      <c r="I209" s="1656"/>
      <c r="J209" s="1656"/>
      <c r="K209" s="1656"/>
      <c r="L209" s="1656"/>
      <c r="M209" s="1656"/>
      <c r="N209" s="1656"/>
      <c r="O209" s="1656"/>
      <c r="P209" s="1656"/>
      <c r="Q209" s="1656"/>
      <c r="R209" s="1656"/>
      <c r="S209" s="1656"/>
      <c r="T209" s="1656"/>
      <c r="U209" s="1656"/>
      <c r="V209" s="1656"/>
      <c r="W209" s="1656"/>
      <c r="X209" s="1656"/>
      <c r="Y209" s="1656"/>
      <c r="AA209" s="1656"/>
      <c r="AC209" s="1656"/>
      <c r="AD209" s="1656"/>
      <c r="AE209" s="1656"/>
      <c r="AF209" s="1656"/>
      <c r="AG209" s="1656"/>
      <c r="AH209" s="1657"/>
      <c r="AI209" s="1657"/>
      <c r="AJ209" s="1656"/>
      <c r="AK209" s="1656"/>
      <c r="AL209" s="1656"/>
      <c r="AM209" s="1656"/>
      <c r="AN209" s="1656"/>
      <c r="AO209" s="1656"/>
      <c r="AP209" s="1656"/>
      <c r="AQ209" s="1656"/>
      <c r="AR209" s="1656"/>
      <c r="AS209" s="1656"/>
      <c r="AT209" s="1656"/>
      <c r="AU209" s="1656"/>
      <c r="AV209" s="1656"/>
      <c r="AW209" s="1656"/>
      <c r="AX209" s="1656"/>
      <c r="AY209" s="1656"/>
      <c r="AZ209" s="1656"/>
      <c r="BA209" s="1656"/>
      <c r="BB209" s="1656"/>
      <c r="BC209" s="1656"/>
      <c r="BD209" s="1656"/>
      <c r="BE209" s="1656"/>
      <c r="BF209" s="1656"/>
      <c r="BG209" s="1656"/>
      <c r="BH209" s="1656"/>
      <c r="BI209" s="1656"/>
      <c r="BJ209" s="1656"/>
      <c r="BK209" s="1656"/>
      <c r="BL209" s="1656"/>
      <c r="BM209" s="1656"/>
      <c r="BN209" s="1656"/>
      <c r="BO209" s="1656"/>
      <c r="BP209" s="1656"/>
      <c r="BQ209" s="1656"/>
      <c r="BR209" s="1656"/>
      <c r="BS209" s="1656"/>
      <c r="BT209" s="1656"/>
      <c r="BU209" s="1656"/>
      <c r="BV209" s="1656"/>
      <c r="BW209" s="1656"/>
      <c r="BX209" s="1656"/>
      <c r="BY209" s="1656"/>
      <c r="BZ209" s="1656"/>
      <c r="CA209" s="1656"/>
      <c r="CB209" s="1656"/>
      <c r="CC209" s="1656"/>
      <c r="CD209" s="1656"/>
      <c r="CE209" s="1656"/>
      <c r="CF209" s="1656"/>
      <c r="CG209" s="1656"/>
      <c r="CH209" s="1656"/>
      <c r="CI209" s="1656"/>
      <c r="CJ209" s="1656"/>
      <c r="CK209" s="1656"/>
      <c r="CL209" s="1656"/>
      <c r="CM209" s="1656"/>
      <c r="CN209" s="1656"/>
      <c r="CO209" s="1656"/>
      <c r="CP209" s="1656"/>
      <c r="CQ209" s="1656"/>
      <c r="CR209" s="1656"/>
      <c r="CS209" s="1656"/>
      <c r="CT209" s="1656"/>
      <c r="CU209" s="1656"/>
      <c r="CV209" s="1656"/>
      <c r="CW209" s="1656"/>
      <c r="CX209" s="1656"/>
      <c r="CY209" s="1656"/>
      <c r="CZ209" s="1656"/>
      <c r="DA209" s="1656"/>
      <c r="DB209" s="1656"/>
      <c r="DC209" s="1656"/>
      <c r="DD209" s="1656"/>
      <c r="DE209" s="1656"/>
      <c r="DF209" s="1656"/>
      <c r="DG209" s="1656"/>
      <c r="DH209" s="1656"/>
      <c r="DI209" s="1656"/>
      <c r="DJ209" s="1656"/>
      <c r="DK209" s="1656"/>
      <c r="DL209" s="1656"/>
      <c r="DM209" s="1656"/>
      <c r="DN209" s="1656"/>
      <c r="DO209" s="1656"/>
      <c r="DP209" s="1656"/>
      <c r="DQ209" s="1656"/>
      <c r="DR209" s="1656"/>
      <c r="DS209" s="1656"/>
      <c r="DT209" s="1656"/>
      <c r="DU209" s="1656"/>
      <c r="DV209" s="1656"/>
      <c r="DW209" s="1656"/>
      <c r="DX209" s="1656"/>
      <c r="DY209" s="1656"/>
      <c r="DZ209" s="1656"/>
      <c r="EA209" s="1656"/>
      <c r="EB209" s="1656"/>
      <c r="EC209" s="1656"/>
      <c r="ED209" s="1656"/>
      <c r="EE209" s="1656"/>
      <c r="EF209" s="1656"/>
      <c r="EG209" s="1656"/>
      <c r="EH209" s="1656"/>
      <c r="EI209" s="1656"/>
      <c r="EJ209" s="1656"/>
      <c r="EK209" s="1656"/>
      <c r="EL209" s="1656"/>
      <c r="EM209" s="1656"/>
      <c r="EN209" s="1656"/>
      <c r="EO209" s="1656"/>
      <c r="EP209" s="1656"/>
      <c r="EQ209" s="1656"/>
      <c r="ER209" s="1656"/>
      <c r="ES209" s="1656"/>
      <c r="ET209" s="1656"/>
      <c r="EU209" s="1656"/>
      <c r="EV209" s="1656"/>
      <c r="EW209" s="1656"/>
      <c r="EX209" s="1656"/>
      <c r="EY209" s="1656"/>
      <c r="EZ209" s="1656"/>
      <c r="FA209" s="1656"/>
      <c r="FB209" s="1656"/>
      <c r="FC209" s="1656"/>
      <c r="FD209" s="1656"/>
      <c r="FE209" s="1656"/>
      <c r="FF209" s="1656"/>
    </row>
    <row r="211" spans="6:162" s="1658" customFormat="1" ht="15.75" customHeight="1">
      <c r="F211" s="1656"/>
      <c r="G211" s="1656"/>
      <c r="H211" s="1656"/>
      <c r="I211" s="1656"/>
      <c r="J211" s="1656"/>
      <c r="K211" s="1656"/>
      <c r="L211" s="1656"/>
      <c r="M211" s="1656"/>
      <c r="N211" s="1656"/>
      <c r="O211" s="1656"/>
      <c r="P211" s="1656"/>
      <c r="Q211" s="1656"/>
      <c r="R211" s="1656"/>
      <c r="S211" s="1656"/>
      <c r="T211" s="1656"/>
      <c r="U211" s="1656"/>
      <c r="V211" s="1656"/>
      <c r="W211" s="1656"/>
      <c r="X211" s="1656"/>
      <c r="Y211" s="1656"/>
      <c r="AA211" s="1656"/>
      <c r="AC211" s="1656"/>
      <c r="AD211" s="1656"/>
      <c r="AE211" s="1656"/>
      <c r="AF211" s="1656"/>
      <c r="AG211" s="1656"/>
      <c r="AH211" s="1657"/>
      <c r="AI211" s="1657"/>
      <c r="AJ211" s="1656"/>
      <c r="AK211" s="1656"/>
      <c r="AL211" s="1656"/>
      <c r="AM211" s="1656"/>
      <c r="AN211" s="1656"/>
      <c r="AO211" s="1656"/>
      <c r="AP211" s="1656"/>
      <c r="AQ211" s="1656"/>
      <c r="AR211" s="1656"/>
      <c r="AS211" s="1656"/>
      <c r="AT211" s="1656"/>
      <c r="AU211" s="1656"/>
      <c r="AV211" s="1656"/>
      <c r="AW211" s="1656"/>
      <c r="AX211" s="1656"/>
      <c r="AY211" s="1656"/>
      <c r="AZ211" s="1656"/>
      <c r="BA211" s="1656"/>
      <c r="BB211" s="1656"/>
      <c r="BC211" s="1656"/>
      <c r="BD211" s="1656"/>
      <c r="BE211" s="1656"/>
      <c r="BF211" s="1656"/>
      <c r="BG211" s="1656"/>
      <c r="BH211" s="1656"/>
      <c r="BI211" s="1656"/>
      <c r="BJ211" s="1656"/>
      <c r="BK211" s="1656"/>
      <c r="BL211" s="1656"/>
      <c r="BM211" s="1656"/>
      <c r="BN211" s="1656"/>
      <c r="BO211" s="1656"/>
      <c r="BP211" s="1656"/>
      <c r="BQ211" s="1656"/>
      <c r="BR211" s="1656"/>
      <c r="BS211" s="1656"/>
      <c r="BT211" s="1656"/>
      <c r="BU211" s="1656"/>
      <c r="BV211" s="1656"/>
      <c r="BW211" s="1656"/>
      <c r="BX211" s="1656"/>
      <c r="BY211" s="1656"/>
      <c r="BZ211" s="1656"/>
      <c r="CA211" s="1656"/>
      <c r="CB211" s="1656"/>
      <c r="CC211" s="1656"/>
      <c r="CD211" s="1656"/>
      <c r="CE211" s="1656"/>
      <c r="CF211" s="1656"/>
      <c r="CG211" s="1656"/>
      <c r="CH211" s="1656"/>
      <c r="CI211" s="1656"/>
      <c r="CJ211" s="1656"/>
      <c r="CK211" s="1656"/>
      <c r="CL211" s="1656"/>
      <c r="CM211" s="1656"/>
      <c r="CN211" s="1656"/>
      <c r="CO211" s="1656"/>
      <c r="CP211" s="1656"/>
      <c r="CQ211" s="1656"/>
      <c r="CR211" s="1656"/>
      <c r="CS211" s="1656"/>
      <c r="CT211" s="1656"/>
      <c r="CU211" s="1656"/>
      <c r="CV211" s="1656"/>
      <c r="CW211" s="1656"/>
      <c r="CX211" s="1656"/>
      <c r="CY211" s="1656"/>
      <c r="CZ211" s="1656"/>
      <c r="DA211" s="1656"/>
      <c r="DB211" s="1656"/>
      <c r="DC211" s="1656"/>
      <c r="DD211" s="1656"/>
      <c r="DE211" s="1656"/>
      <c r="DF211" s="1656"/>
      <c r="DG211" s="1656"/>
      <c r="DH211" s="1656"/>
      <c r="DI211" s="1656"/>
      <c r="DJ211" s="1656"/>
      <c r="DK211" s="1656"/>
      <c r="DL211" s="1656"/>
      <c r="DM211" s="1656"/>
      <c r="DN211" s="1656"/>
      <c r="DO211" s="1656"/>
      <c r="DP211" s="1656"/>
      <c r="DQ211" s="1656"/>
      <c r="DR211" s="1656"/>
      <c r="DS211" s="1656"/>
      <c r="DT211" s="1656"/>
      <c r="DU211" s="1656"/>
      <c r="DV211" s="1656"/>
      <c r="DW211" s="1656"/>
      <c r="DX211" s="1656"/>
      <c r="DY211" s="1656"/>
      <c r="DZ211" s="1656"/>
      <c r="EA211" s="1656"/>
      <c r="EB211" s="1656"/>
      <c r="EC211" s="1656"/>
      <c r="ED211" s="1656"/>
      <c r="EE211" s="1656"/>
      <c r="EF211" s="1656"/>
      <c r="EG211" s="1656"/>
      <c r="EH211" s="1656"/>
      <c r="EI211" s="1656"/>
      <c r="EJ211" s="1656"/>
      <c r="EK211" s="1656"/>
      <c r="EL211" s="1656"/>
      <c r="EM211" s="1656"/>
      <c r="EN211" s="1656"/>
      <c r="EO211" s="1656"/>
      <c r="EP211" s="1656"/>
      <c r="EQ211" s="1656"/>
      <c r="ER211" s="1656"/>
      <c r="ES211" s="1656"/>
      <c r="ET211" s="1656"/>
      <c r="EU211" s="1656"/>
      <c r="EV211" s="1656"/>
      <c r="EW211" s="1656"/>
      <c r="EX211" s="1656"/>
      <c r="EY211" s="1656"/>
      <c r="EZ211" s="1656"/>
      <c r="FA211" s="1656"/>
      <c r="FB211" s="1656"/>
      <c r="FC211" s="1656"/>
      <c r="FD211" s="1656"/>
      <c r="FE211" s="1656"/>
      <c r="FF211" s="1656"/>
    </row>
    <row r="213" spans="6:162" s="1658" customFormat="1" ht="15.75" customHeight="1">
      <c r="F213" s="1656"/>
      <c r="G213" s="1656"/>
      <c r="H213" s="1656"/>
      <c r="I213" s="1656"/>
      <c r="J213" s="1656"/>
      <c r="K213" s="1656"/>
      <c r="L213" s="1656"/>
      <c r="M213" s="1656"/>
      <c r="N213" s="1656"/>
      <c r="O213" s="1656"/>
      <c r="P213" s="1656"/>
      <c r="Q213" s="1656"/>
      <c r="R213" s="1656"/>
      <c r="S213" s="1656"/>
      <c r="T213" s="1656"/>
      <c r="U213" s="1656"/>
      <c r="V213" s="1656"/>
      <c r="W213" s="1656"/>
      <c r="X213" s="1656"/>
      <c r="Y213" s="1656"/>
      <c r="AA213" s="1656"/>
      <c r="AC213" s="1656"/>
      <c r="AD213" s="1656"/>
      <c r="AE213" s="1656"/>
      <c r="AF213" s="1656"/>
      <c r="AG213" s="1656"/>
      <c r="AH213" s="1657"/>
      <c r="AI213" s="1657"/>
      <c r="AJ213" s="1656"/>
      <c r="AK213" s="1656"/>
      <c r="AL213" s="1656"/>
      <c r="AM213" s="1656"/>
      <c r="AN213" s="1656"/>
      <c r="AO213" s="1656"/>
      <c r="AP213" s="1656"/>
      <c r="AQ213" s="1656"/>
      <c r="AR213" s="1656"/>
      <c r="AS213" s="1656"/>
      <c r="AT213" s="1656"/>
      <c r="AU213" s="1656"/>
      <c r="AV213" s="1656"/>
      <c r="AW213" s="1656"/>
      <c r="AX213" s="1656"/>
      <c r="AY213" s="1656"/>
      <c r="AZ213" s="1656"/>
      <c r="BA213" s="1656"/>
      <c r="BB213" s="1656"/>
      <c r="BC213" s="1656"/>
      <c r="BD213" s="1656"/>
      <c r="BE213" s="1656"/>
      <c r="BF213" s="1656"/>
      <c r="BG213" s="1656"/>
      <c r="BH213" s="1656"/>
      <c r="BI213" s="1656"/>
      <c r="BJ213" s="1656"/>
      <c r="BK213" s="1656"/>
      <c r="BL213" s="1656"/>
      <c r="BM213" s="1656"/>
      <c r="BN213" s="1656"/>
      <c r="BO213" s="1656"/>
      <c r="BP213" s="1656"/>
      <c r="BQ213" s="1656"/>
      <c r="BR213" s="1656"/>
      <c r="BS213" s="1656"/>
      <c r="BT213" s="1656"/>
      <c r="BU213" s="1656"/>
      <c r="BV213" s="1656"/>
      <c r="BW213" s="1656"/>
      <c r="BX213" s="1656"/>
      <c r="BY213" s="1656"/>
      <c r="BZ213" s="1656"/>
      <c r="CA213" s="1656"/>
      <c r="CB213" s="1656"/>
      <c r="CC213" s="1656"/>
      <c r="CD213" s="1656"/>
      <c r="CE213" s="1656"/>
      <c r="CF213" s="1656"/>
      <c r="CG213" s="1656"/>
      <c r="CH213" s="1656"/>
      <c r="CI213" s="1656"/>
      <c r="CJ213" s="1656"/>
      <c r="CK213" s="1656"/>
      <c r="CL213" s="1656"/>
      <c r="CM213" s="1656"/>
      <c r="CN213" s="1656"/>
      <c r="CO213" s="1656"/>
      <c r="CP213" s="1656"/>
      <c r="CQ213" s="1656"/>
      <c r="CR213" s="1656"/>
      <c r="CS213" s="1656"/>
      <c r="CT213" s="1656"/>
      <c r="CU213" s="1656"/>
      <c r="CV213" s="1656"/>
      <c r="CW213" s="1656"/>
      <c r="CX213" s="1656"/>
      <c r="CY213" s="1656"/>
      <c r="CZ213" s="1656"/>
      <c r="DA213" s="1656"/>
      <c r="DB213" s="1656"/>
      <c r="DC213" s="1656"/>
      <c r="DD213" s="1656"/>
      <c r="DE213" s="1656"/>
      <c r="DF213" s="1656"/>
      <c r="DG213" s="1656"/>
      <c r="DH213" s="1656"/>
      <c r="DI213" s="1656"/>
      <c r="DJ213" s="1656"/>
      <c r="DK213" s="1656"/>
      <c r="DL213" s="1656"/>
      <c r="DM213" s="1656"/>
      <c r="DN213" s="1656"/>
      <c r="DO213" s="1656"/>
      <c r="DP213" s="1656"/>
      <c r="DQ213" s="1656"/>
      <c r="DR213" s="1656"/>
      <c r="DS213" s="1656"/>
      <c r="DT213" s="1656"/>
      <c r="DU213" s="1656"/>
      <c r="DV213" s="1656"/>
      <c r="DW213" s="1656"/>
      <c r="DX213" s="1656"/>
      <c r="DY213" s="1656"/>
      <c r="DZ213" s="1656"/>
      <c r="EA213" s="1656"/>
      <c r="EB213" s="1656"/>
      <c r="EC213" s="1656"/>
      <c r="ED213" s="1656"/>
      <c r="EE213" s="1656"/>
      <c r="EF213" s="1656"/>
      <c r="EG213" s="1656"/>
      <c r="EH213" s="1656"/>
      <c r="EI213" s="1656"/>
      <c r="EJ213" s="1656"/>
      <c r="EK213" s="1656"/>
      <c r="EL213" s="1656"/>
      <c r="EM213" s="1656"/>
      <c r="EN213" s="1656"/>
      <c r="EO213" s="1656"/>
      <c r="EP213" s="1656"/>
      <c r="EQ213" s="1656"/>
      <c r="ER213" s="1656"/>
      <c r="ES213" s="1656"/>
      <c r="ET213" s="1656"/>
      <c r="EU213" s="1656"/>
      <c r="EV213" s="1656"/>
      <c r="EW213" s="1656"/>
      <c r="EX213" s="1656"/>
      <c r="EY213" s="1656"/>
      <c r="EZ213" s="1656"/>
      <c r="FA213" s="1656"/>
      <c r="FB213" s="1656"/>
      <c r="FC213" s="1656"/>
      <c r="FD213" s="1656"/>
      <c r="FE213" s="1656"/>
      <c r="FF213" s="1656"/>
    </row>
    <row r="215" spans="6:162" s="1658" customFormat="1" ht="15.75" customHeight="1">
      <c r="F215" s="1656"/>
      <c r="G215" s="1656"/>
      <c r="H215" s="1656"/>
      <c r="I215" s="1656"/>
      <c r="J215" s="1656"/>
      <c r="K215" s="1656"/>
      <c r="L215" s="1656"/>
      <c r="M215" s="1656"/>
      <c r="N215" s="1656"/>
      <c r="O215" s="1656"/>
      <c r="P215" s="1656"/>
      <c r="Q215" s="1656"/>
      <c r="R215" s="1656"/>
      <c r="S215" s="1656"/>
      <c r="T215" s="1656"/>
      <c r="U215" s="1656"/>
      <c r="V215" s="1656"/>
      <c r="W215" s="1656"/>
      <c r="X215" s="1656"/>
      <c r="Y215" s="1656"/>
      <c r="AA215" s="1656"/>
      <c r="AC215" s="1656"/>
      <c r="AD215" s="1656"/>
      <c r="AE215" s="1656"/>
      <c r="AF215" s="1656"/>
      <c r="AG215" s="1656"/>
      <c r="AH215" s="1657"/>
      <c r="AI215" s="1657"/>
      <c r="AJ215" s="1656"/>
      <c r="AK215" s="1656"/>
      <c r="AL215" s="1656"/>
      <c r="AM215" s="1656"/>
      <c r="AN215" s="1656"/>
      <c r="AO215" s="1656"/>
      <c r="AP215" s="1656"/>
      <c r="AQ215" s="1656"/>
      <c r="AR215" s="1656"/>
      <c r="AS215" s="1656"/>
      <c r="AT215" s="1656"/>
      <c r="AU215" s="1656"/>
      <c r="AV215" s="1656"/>
      <c r="AW215" s="1656"/>
      <c r="AX215" s="1656"/>
      <c r="AY215" s="1656"/>
      <c r="AZ215" s="1656"/>
      <c r="BA215" s="1656"/>
      <c r="BB215" s="1656"/>
      <c r="BC215" s="1656"/>
      <c r="BD215" s="1656"/>
      <c r="BE215" s="1656"/>
      <c r="BF215" s="1656"/>
      <c r="BG215" s="1656"/>
      <c r="BH215" s="1656"/>
      <c r="BI215" s="1656"/>
      <c r="BJ215" s="1656"/>
      <c r="BK215" s="1656"/>
      <c r="BL215" s="1656"/>
      <c r="BM215" s="1656"/>
      <c r="BN215" s="1656"/>
      <c r="BO215" s="1656"/>
      <c r="BP215" s="1656"/>
      <c r="BQ215" s="1656"/>
      <c r="BR215" s="1656"/>
      <c r="BS215" s="1656"/>
      <c r="BT215" s="1656"/>
      <c r="BU215" s="1656"/>
      <c r="BV215" s="1656"/>
      <c r="BW215" s="1656"/>
      <c r="BX215" s="1656"/>
      <c r="BY215" s="1656"/>
      <c r="BZ215" s="1656"/>
      <c r="CA215" s="1656"/>
      <c r="CB215" s="1656"/>
      <c r="CC215" s="1656"/>
      <c r="CD215" s="1656"/>
      <c r="CE215" s="1656"/>
      <c r="CF215" s="1656"/>
      <c r="CG215" s="1656"/>
      <c r="CH215" s="1656"/>
      <c r="CI215" s="1656"/>
      <c r="CJ215" s="1656"/>
      <c r="CK215" s="1656"/>
      <c r="CL215" s="1656"/>
      <c r="CM215" s="1656"/>
      <c r="CN215" s="1656"/>
      <c r="CO215" s="1656"/>
      <c r="CP215" s="1656"/>
      <c r="CQ215" s="1656"/>
      <c r="CR215" s="1656"/>
      <c r="CS215" s="1656"/>
      <c r="CT215" s="1656"/>
      <c r="CU215" s="1656"/>
      <c r="CV215" s="1656"/>
      <c r="CW215" s="1656"/>
      <c r="CX215" s="1656"/>
      <c r="CY215" s="1656"/>
      <c r="CZ215" s="1656"/>
      <c r="DA215" s="1656"/>
      <c r="DB215" s="1656"/>
      <c r="DC215" s="1656"/>
      <c r="DD215" s="1656"/>
      <c r="DE215" s="1656"/>
      <c r="DF215" s="1656"/>
      <c r="DG215" s="1656"/>
      <c r="DH215" s="1656"/>
      <c r="DI215" s="1656"/>
      <c r="DJ215" s="1656"/>
      <c r="DK215" s="1656"/>
      <c r="DL215" s="1656"/>
      <c r="DM215" s="1656"/>
      <c r="DN215" s="1656"/>
      <c r="DO215" s="1656"/>
      <c r="DP215" s="1656"/>
      <c r="DQ215" s="1656"/>
      <c r="DR215" s="1656"/>
      <c r="DS215" s="1656"/>
      <c r="DT215" s="1656"/>
      <c r="DU215" s="1656"/>
      <c r="DV215" s="1656"/>
      <c r="DW215" s="1656"/>
      <c r="DX215" s="1656"/>
      <c r="DY215" s="1656"/>
      <c r="DZ215" s="1656"/>
      <c r="EA215" s="1656"/>
      <c r="EB215" s="1656"/>
      <c r="EC215" s="1656"/>
      <c r="ED215" s="1656"/>
      <c r="EE215" s="1656"/>
      <c r="EF215" s="1656"/>
      <c r="EG215" s="1656"/>
      <c r="EH215" s="1656"/>
      <c r="EI215" s="1656"/>
      <c r="EJ215" s="1656"/>
      <c r="EK215" s="1656"/>
      <c r="EL215" s="1656"/>
      <c r="EM215" s="1656"/>
      <c r="EN215" s="1656"/>
      <c r="EO215" s="1656"/>
      <c r="EP215" s="1656"/>
      <c r="EQ215" s="1656"/>
      <c r="ER215" s="1656"/>
      <c r="ES215" s="1656"/>
      <c r="ET215" s="1656"/>
      <c r="EU215" s="1656"/>
      <c r="EV215" s="1656"/>
      <c r="EW215" s="1656"/>
      <c r="EX215" s="1656"/>
      <c r="EY215" s="1656"/>
      <c r="EZ215" s="1656"/>
      <c r="FA215" s="1656"/>
      <c r="FB215" s="1656"/>
      <c r="FC215" s="1656"/>
      <c r="FD215" s="1656"/>
      <c r="FE215" s="1656"/>
      <c r="FF215" s="1656"/>
    </row>
    <row r="217" spans="6:162" s="1658" customFormat="1" ht="15.75" customHeight="1">
      <c r="F217" s="1656"/>
      <c r="G217" s="1656"/>
      <c r="H217" s="1656"/>
      <c r="I217" s="1656"/>
      <c r="J217" s="1656"/>
      <c r="K217" s="1656"/>
      <c r="L217" s="1656"/>
      <c r="M217" s="1656"/>
      <c r="N217" s="1656"/>
      <c r="O217" s="1656"/>
      <c r="P217" s="1656"/>
      <c r="Q217" s="1656"/>
      <c r="R217" s="1656"/>
      <c r="S217" s="1656"/>
      <c r="T217" s="1656"/>
      <c r="U217" s="1656"/>
      <c r="V217" s="1656"/>
      <c r="W217" s="1656"/>
      <c r="X217" s="1656"/>
      <c r="Y217" s="1656"/>
      <c r="AA217" s="1656"/>
      <c r="AC217" s="1656"/>
      <c r="AD217" s="1656"/>
      <c r="AE217" s="1656"/>
      <c r="AF217" s="1656"/>
      <c r="AG217" s="1656"/>
      <c r="AH217" s="1657"/>
      <c r="AI217" s="1657"/>
      <c r="AJ217" s="1656"/>
      <c r="AK217" s="1656"/>
      <c r="AL217" s="1656"/>
      <c r="AM217" s="1656"/>
      <c r="AN217" s="1656"/>
      <c r="AO217" s="1656"/>
      <c r="AP217" s="1656"/>
      <c r="AQ217" s="1656"/>
      <c r="AR217" s="1656"/>
      <c r="AS217" s="1656"/>
      <c r="AT217" s="1656"/>
      <c r="AU217" s="1656"/>
      <c r="AV217" s="1656"/>
      <c r="AW217" s="1656"/>
      <c r="AX217" s="1656"/>
      <c r="AY217" s="1656"/>
      <c r="AZ217" s="1656"/>
      <c r="BA217" s="1656"/>
      <c r="BB217" s="1656"/>
      <c r="BC217" s="1656"/>
      <c r="BD217" s="1656"/>
      <c r="BE217" s="1656"/>
      <c r="BF217" s="1656"/>
      <c r="BG217" s="1656"/>
      <c r="BH217" s="1656"/>
      <c r="BI217" s="1656"/>
      <c r="BJ217" s="1656"/>
      <c r="BK217" s="1656"/>
      <c r="BL217" s="1656"/>
      <c r="BM217" s="1656"/>
      <c r="BN217" s="1656"/>
      <c r="BO217" s="1656"/>
      <c r="BP217" s="1656"/>
      <c r="BQ217" s="1656"/>
      <c r="BR217" s="1656"/>
      <c r="BS217" s="1656"/>
      <c r="BT217" s="1656"/>
      <c r="BU217" s="1656"/>
      <c r="BV217" s="1656"/>
      <c r="BW217" s="1656"/>
      <c r="BX217" s="1656"/>
      <c r="BY217" s="1656"/>
      <c r="BZ217" s="1656"/>
      <c r="CA217" s="1656"/>
      <c r="CB217" s="1656"/>
      <c r="CC217" s="1656"/>
      <c r="CD217" s="1656"/>
      <c r="CE217" s="1656"/>
      <c r="CF217" s="1656"/>
      <c r="CG217" s="1656"/>
      <c r="CH217" s="1656"/>
      <c r="CI217" s="1656"/>
      <c r="CJ217" s="1656"/>
      <c r="CK217" s="1656"/>
      <c r="CL217" s="1656"/>
      <c r="CM217" s="1656"/>
      <c r="CN217" s="1656"/>
      <c r="CO217" s="1656"/>
      <c r="CP217" s="1656"/>
      <c r="CQ217" s="1656"/>
      <c r="CR217" s="1656"/>
      <c r="CS217" s="1656"/>
      <c r="CT217" s="1656"/>
      <c r="CU217" s="1656"/>
      <c r="CV217" s="1656"/>
      <c r="CW217" s="1656"/>
      <c r="CX217" s="1656"/>
      <c r="CY217" s="1656"/>
      <c r="CZ217" s="1656"/>
      <c r="DA217" s="1656"/>
      <c r="DB217" s="1656"/>
      <c r="DC217" s="1656"/>
      <c r="DD217" s="1656"/>
      <c r="DE217" s="1656"/>
      <c r="DF217" s="1656"/>
      <c r="DG217" s="1656"/>
      <c r="DH217" s="1656"/>
      <c r="DI217" s="1656"/>
      <c r="DJ217" s="1656"/>
      <c r="DK217" s="1656"/>
      <c r="DL217" s="1656"/>
      <c r="DM217" s="1656"/>
      <c r="DN217" s="1656"/>
      <c r="DO217" s="1656"/>
      <c r="DP217" s="1656"/>
      <c r="DQ217" s="1656"/>
      <c r="DR217" s="1656"/>
      <c r="DS217" s="1656"/>
      <c r="DT217" s="1656"/>
      <c r="DU217" s="1656"/>
      <c r="DV217" s="1656"/>
      <c r="DW217" s="1656"/>
      <c r="DX217" s="1656"/>
      <c r="DY217" s="1656"/>
      <c r="DZ217" s="1656"/>
      <c r="EA217" s="1656"/>
      <c r="EB217" s="1656"/>
      <c r="EC217" s="1656"/>
      <c r="ED217" s="1656"/>
      <c r="EE217" s="1656"/>
      <c r="EF217" s="1656"/>
      <c r="EG217" s="1656"/>
      <c r="EH217" s="1656"/>
      <c r="EI217" s="1656"/>
      <c r="EJ217" s="1656"/>
      <c r="EK217" s="1656"/>
      <c r="EL217" s="1656"/>
      <c r="EM217" s="1656"/>
      <c r="EN217" s="1656"/>
      <c r="EO217" s="1656"/>
      <c r="EP217" s="1656"/>
      <c r="EQ217" s="1656"/>
      <c r="ER217" s="1656"/>
      <c r="ES217" s="1656"/>
      <c r="ET217" s="1656"/>
      <c r="EU217" s="1656"/>
      <c r="EV217" s="1656"/>
      <c r="EW217" s="1656"/>
      <c r="EX217" s="1656"/>
      <c r="EY217" s="1656"/>
      <c r="EZ217" s="1656"/>
      <c r="FA217" s="1656"/>
      <c r="FB217" s="1656"/>
      <c r="FC217" s="1656"/>
      <c r="FD217" s="1656"/>
      <c r="FE217" s="1656"/>
      <c r="FF217" s="1656"/>
    </row>
    <row r="219" spans="6:162" s="1658" customFormat="1" ht="15.75" customHeight="1">
      <c r="F219" s="1656"/>
      <c r="G219" s="1656"/>
      <c r="H219" s="1656"/>
      <c r="I219" s="1656"/>
      <c r="J219" s="1656"/>
      <c r="K219" s="1656"/>
      <c r="L219" s="1656"/>
      <c r="M219" s="1656"/>
      <c r="N219" s="1656"/>
      <c r="O219" s="1656"/>
      <c r="P219" s="1656"/>
      <c r="Q219" s="1656"/>
      <c r="R219" s="1656"/>
      <c r="S219" s="1656"/>
      <c r="T219" s="1656"/>
      <c r="U219" s="1656"/>
      <c r="V219" s="1656"/>
      <c r="W219" s="1656"/>
      <c r="X219" s="1656"/>
      <c r="Y219" s="1656"/>
      <c r="AA219" s="1656"/>
      <c r="AC219" s="1656"/>
      <c r="AD219" s="1656"/>
      <c r="AE219" s="1656"/>
      <c r="AF219" s="1656"/>
      <c r="AG219" s="1656"/>
      <c r="AH219" s="1657"/>
      <c r="AI219" s="1657"/>
      <c r="AJ219" s="1656"/>
      <c r="AK219" s="1656"/>
      <c r="AL219" s="1656"/>
      <c r="AM219" s="1656"/>
      <c r="AN219" s="1656"/>
      <c r="AO219" s="1656"/>
      <c r="AP219" s="1656"/>
      <c r="AQ219" s="1656"/>
      <c r="AR219" s="1656"/>
      <c r="AS219" s="1656"/>
      <c r="AT219" s="1656"/>
      <c r="AU219" s="1656"/>
      <c r="AV219" s="1656"/>
      <c r="AW219" s="1656"/>
      <c r="AX219" s="1656"/>
      <c r="AY219" s="1656"/>
      <c r="AZ219" s="1656"/>
      <c r="BA219" s="1656"/>
      <c r="BB219" s="1656"/>
      <c r="BC219" s="1656"/>
      <c r="BD219" s="1656"/>
      <c r="BE219" s="1656"/>
      <c r="BF219" s="1656"/>
      <c r="BG219" s="1656"/>
      <c r="BH219" s="1656"/>
      <c r="BI219" s="1656"/>
      <c r="BJ219" s="1656"/>
      <c r="BK219" s="1656"/>
      <c r="BL219" s="1656"/>
      <c r="BM219" s="1656"/>
      <c r="BN219" s="1656"/>
      <c r="BO219" s="1656"/>
      <c r="BP219" s="1656"/>
      <c r="BQ219" s="1656"/>
      <c r="BR219" s="1656"/>
      <c r="BS219" s="1656"/>
      <c r="BT219" s="1656"/>
      <c r="BU219" s="1656"/>
      <c r="BV219" s="1656"/>
      <c r="BW219" s="1656"/>
      <c r="BX219" s="1656"/>
      <c r="BY219" s="1656"/>
      <c r="BZ219" s="1656"/>
      <c r="CA219" s="1656"/>
      <c r="CB219" s="1656"/>
      <c r="CC219" s="1656"/>
      <c r="CD219" s="1656"/>
      <c r="CE219" s="1656"/>
      <c r="CF219" s="1656"/>
      <c r="CG219" s="1656"/>
      <c r="CH219" s="1656"/>
      <c r="CI219" s="1656"/>
      <c r="CJ219" s="1656"/>
      <c r="CK219" s="1656"/>
      <c r="CL219" s="1656"/>
      <c r="CM219" s="1656"/>
      <c r="CN219" s="1656"/>
      <c r="CO219" s="1656"/>
      <c r="CP219" s="1656"/>
      <c r="CQ219" s="1656"/>
      <c r="CR219" s="1656"/>
      <c r="CS219" s="1656"/>
      <c r="CT219" s="1656"/>
      <c r="CU219" s="1656"/>
      <c r="CV219" s="1656"/>
      <c r="CW219" s="1656"/>
      <c r="CX219" s="1656"/>
      <c r="CY219" s="1656"/>
      <c r="CZ219" s="1656"/>
      <c r="DA219" s="1656"/>
      <c r="DB219" s="1656"/>
      <c r="DC219" s="1656"/>
      <c r="DD219" s="1656"/>
      <c r="DE219" s="1656"/>
      <c r="DF219" s="1656"/>
      <c r="DG219" s="1656"/>
      <c r="DH219" s="1656"/>
      <c r="DI219" s="1656"/>
      <c r="DJ219" s="1656"/>
      <c r="DK219" s="1656"/>
      <c r="DL219" s="1656"/>
      <c r="DM219" s="1656"/>
      <c r="DN219" s="1656"/>
      <c r="DO219" s="1656"/>
      <c r="DP219" s="1656"/>
      <c r="DQ219" s="1656"/>
      <c r="DR219" s="1656"/>
      <c r="DS219" s="1656"/>
      <c r="DT219" s="1656"/>
      <c r="DU219" s="1656"/>
      <c r="DV219" s="1656"/>
      <c r="DW219" s="1656"/>
      <c r="DX219" s="1656"/>
      <c r="DY219" s="1656"/>
      <c r="DZ219" s="1656"/>
      <c r="EA219" s="1656"/>
      <c r="EB219" s="1656"/>
      <c r="EC219" s="1656"/>
      <c r="ED219" s="1656"/>
      <c r="EE219" s="1656"/>
      <c r="EF219" s="1656"/>
      <c r="EG219" s="1656"/>
      <c r="EH219" s="1656"/>
      <c r="EI219" s="1656"/>
      <c r="EJ219" s="1656"/>
      <c r="EK219" s="1656"/>
      <c r="EL219" s="1656"/>
      <c r="EM219" s="1656"/>
      <c r="EN219" s="1656"/>
      <c r="EO219" s="1656"/>
      <c r="EP219" s="1656"/>
      <c r="EQ219" s="1656"/>
      <c r="ER219" s="1656"/>
      <c r="ES219" s="1656"/>
      <c r="ET219" s="1656"/>
      <c r="EU219" s="1656"/>
      <c r="EV219" s="1656"/>
      <c r="EW219" s="1656"/>
      <c r="EX219" s="1656"/>
      <c r="EY219" s="1656"/>
      <c r="EZ219" s="1656"/>
      <c r="FA219" s="1656"/>
      <c r="FB219" s="1656"/>
      <c r="FC219" s="1656"/>
      <c r="FD219" s="1656"/>
      <c r="FE219" s="1656"/>
      <c r="FF219" s="1656"/>
    </row>
    <row r="221" spans="6:162" s="1658" customFormat="1" ht="15.75" customHeight="1">
      <c r="F221" s="1656"/>
      <c r="G221" s="1656"/>
      <c r="H221" s="1656"/>
      <c r="I221" s="1656"/>
      <c r="J221" s="1656"/>
      <c r="K221" s="1656"/>
      <c r="L221" s="1656"/>
      <c r="M221" s="1656"/>
      <c r="N221" s="1656"/>
      <c r="O221" s="1656"/>
      <c r="P221" s="1656"/>
      <c r="Q221" s="1656"/>
      <c r="R221" s="1656"/>
      <c r="S221" s="1656"/>
      <c r="T221" s="1656"/>
      <c r="U221" s="1656"/>
      <c r="V221" s="1656"/>
      <c r="W221" s="1656"/>
      <c r="X221" s="1656"/>
      <c r="Y221" s="1656"/>
      <c r="AA221" s="1656"/>
      <c r="AC221" s="1656"/>
      <c r="AD221" s="1656"/>
      <c r="AE221" s="1656"/>
      <c r="AF221" s="1656"/>
      <c r="AG221" s="1656"/>
      <c r="AH221" s="1657"/>
      <c r="AI221" s="1657"/>
      <c r="AJ221" s="1656"/>
      <c r="AK221" s="1656"/>
      <c r="AL221" s="1656"/>
      <c r="AM221" s="1656"/>
      <c r="AN221" s="1656"/>
      <c r="AO221" s="1656"/>
      <c r="AP221" s="1656"/>
      <c r="AQ221" s="1656"/>
      <c r="AR221" s="1656"/>
      <c r="AS221" s="1656"/>
      <c r="AT221" s="1656"/>
      <c r="AU221" s="1656"/>
      <c r="AV221" s="1656"/>
      <c r="AW221" s="1656"/>
      <c r="AX221" s="1656"/>
      <c r="AY221" s="1656"/>
      <c r="AZ221" s="1656"/>
      <c r="BA221" s="1656"/>
      <c r="BB221" s="1656"/>
      <c r="BC221" s="1656"/>
      <c r="BD221" s="1656"/>
      <c r="BE221" s="1656"/>
      <c r="BF221" s="1656"/>
      <c r="BG221" s="1656"/>
      <c r="BH221" s="1656"/>
      <c r="BI221" s="1656"/>
      <c r="BJ221" s="1656"/>
      <c r="BK221" s="1656"/>
      <c r="BL221" s="1656"/>
      <c r="BM221" s="1656"/>
      <c r="BN221" s="1656"/>
      <c r="BO221" s="1656"/>
      <c r="BP221" s="1656"/>
      <c r="BQ221" s="1656"/>
      <c r="BR221" s="1656"/>
      <c r="BS221" s="1656"/>
      <c r="BT221" s="1656"/>
      <c r="BU221" s="1656"/>
      <c r="BV221" s="1656"/>
      <c r="BW221" s="1656"/>
      <c r="BX221" s="1656"/>
      <c r="BY221" s="1656"/>
      <c r="BZ221" s="1656"/>
      <c r="CA221" s="1656"/>
      <c r="CB221" s="1656"/>
      <c r="CC221" s="1656"/>
      <c r="CD221" s="1656"/>
      <c r="CE221" s="1656"/>
      <c r="CF221" s="1656"/>
      <c r="CG221" s="1656"/>
      <c r="CH221" s="1656"/>
      <c r="CI221" s="1656"/>
      <c r="CJ221" s="1656"/>
      <c r="CK221" s="1656"/>
      <c r="CL221" s="1656"/>
      <c r="CM221" s="1656"/>
      <c r="CN221" s="1656"/>
      <c r="CO221" s="1656"/>
      <c r="CP221" s="1656"/>
      <c r="CQ221" s="1656"/>
      <c r="CR221" s="1656"/>
      <c r="CS221" s="1656"/>
      <c r="CT221" s="1656"/>
      <c r="CU221" s="1656"/>
      <c r="CV221" s="1656"/>
      <c r="CW221" s="1656"/>
      <c r="CX221" s="1656"/>
      <c r="CY221" s="1656"/>
      <c r="CZ221" s="1656"/>
      <c r="DA221" s="1656"/>
      <c r="DB221" s="1656"/>
      <c r="DC221" s="1656"/>
      <c r="DD221" s="1656"/>
      <c r="DE221" s="1656"/>
      <c r="DF221" s="1656"/>
      <c r="DG221" s="1656"/>
      <c r="DH221" s="1656"/>
      <c r="DI221" s="1656"/>
      <c r="DJ221" s="1656"/>
      <c r="DK221" s="1656"/>
      <c r="DL221" s="1656"/>
      <c r="DM221" s="1656"/>
      <c r="DN221" s="1656"/>
      <c r="DO221" s="1656"/>
      <c r="DP221" s="1656"/>
      <c r="DQ221" s="1656"/>
      <c r="DR221" s="1656"/>
      <c r="DS221" s="1656"/>
      <c r="DT221" s="1656"/>
      <c r="DU221" s="1656"/>
      <c r="DV221" s="1656"/>
      <c r="DW221" s="1656"/>
      <c r="DX221" s="1656"/>
      <c r="DY221" s="1656"/>
      <c r="DZ221" s="1656"/>
      <c r="EA221" s="1656"/>
      <c r="EB221" s="1656"/>
      <c r="EC221" s="1656"/>
      <c r="ED221" s="1656"/>
      <c r="EE221" s="1656"/>
      <c r="EF221" s="1656"/>
      <c r="EG221" s="1656"/>
      <c r="EH221" s="1656"/>
      <c r="EI221" s="1656"/>
      <c r="EJ221" s="1656"/>
      <c r="EK221" s="1656"/>
      <c r="EL221" s="1656"/>
      <c r="EM221" s="1656"/>
      <c r="EN221" s="1656"/>
      <c r="EO221" s="1656"/>
      <c r="EP221" s="1656"/>
      <c r="EQ221" s="1656"/>
      <c r="ER221" s="1656"/>
      <c r="ES221" s="1656"/>
      <c r="ET221" s="1656"/>
      <c r="EU221" s="1656"/>
      <c r="EV221" s="1656"/>
      <c r="EW221" s="1656"/>
      <c r="EX221" s="1656"/>
      <c r="EY221" s="1656"/>
      <c r="EZ221" s="1656"/>
      <c r="FA221" s="1656"/>
      <c r="FB221" s="1656"/>
      <c r="FC221" s="1656"/>
      <c r="FD221" s="1656"/>
      <c r="FE221" s="1656"/>
      <c r="FF221" s="1656"/>
    </row>
    <row r="223" spans="6:162" s="1658" customFormat="1" ht="15.75" customHeight="1">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AA223" s="1656"/>
      <c r="AC223" s="1656"/>
      <c r="AD223" s="1656"/>
      <c r="AE223" s="1656"/>
      <c r="AF223" s="1656"/>
      <c r="AG223" s="1656"/>
      <c r="AH223" s="1657"/>
      <c r="AI223" s="1657"/>
      <c r="AJ223" s="1656"/>
      <c r="AK223" s="1656"/>
      <c r="AL223" s="1656"/>
      <c r="AM223" s="1656"/>
      <c r="AN223" s="1656"/>
      <c r="AO223" s="1656"/>
      <c r="AP223" s="1656"/>
      <c r="AQ223" s="1656"/>
      <c r="AR223" s="1656"/>
      <c r="AS223" s="1656"/>
      <c r="AT223" s="1656"/>
      <c r="AU223" s="1656"/>
      <c r="AV223" s="1656"/>
      <c r="AW223" s="1656"/>
      <c r="AX223" s="1656"/>
      <c r="AY223" s="1656"/>
      <c r="AZ223" s="1656"/>
      <c r="BA223" s="1656"/>
      <c r="BB223" s="1656"/>
      <c r="BC223" s="1656"/>
      <c r="BD223" s="1656"/>
      <c r="BE223" s="1656"/>
      <c r="BF223" s="1656"/>
      <c r="BG223" s="1656"/>
      <c r="BH223" s="1656"/>
      <c r="BI223" s="1656"/>
      <c r="BJ223" s="1656"/>
      <c r="BK223" s="1656"/>
      <c r="BL223" s="1656"/>
      <c r="BM223" s="1656"/>
      <c r="BN223" s="1656"/>
      <c r="BO223" s="1656"/>
      <c r="BP223" s="1656"/>
      <c r="BQ223" s="1656"/>
      <c r="BR223" s="1656"/>
      <c r="BS223" s="1656"/>
      <c r="BT223" s="1656"/>
      <c r="BU223" s="1656"/>
      <c r="BV223" s="1656"/>
      <c r="BW223" s="1656"/>
      <c r="BX223" s="1656"/>
      <c r="BY223" s="1656"/>
      <c r="BZ223" s="1656"/>
      <c r="CA223" s="1656"/>
      <c r="CB223" s="1656"/>
      <c r="CC223" s="1656"/>
      <c r="CD223" s="1656"/>
      <c r="CE223" s="1656"/>
      <c r="CF223" s="1656"/>
      <c r="CG223" s="1656"/>
      <c r="CH223" s="1656"/>
      <c r="CI223" s="1656"/>
      <c r="CJ223" s="1656"/>
      <c r="CK223" s="1656"/>
      <c r="CL223" s="1656"/>
      <c r="CM223" s="1656"/>
      <c r="CN223" s="1656"/>
      <c r="CO223" s="1656"/>
      <c r="CP223" s="1656"/>
      <c r="CQ223" s="1656"/>
      <c r="CR223" s="1656"/>
      <c r="CS223" s="1656"/>
      <c r="CT223" s="1656"/>
      <c r="CU223" s="1656"/>
      <c r="CV223" s="1656"/>
      <c r="CW223" s="1656"/>
      <c r="CX223" s="1656"/>
      <c r="CY223" s="1656"/>
      <c r="CZ223" s="1656"/>
      <c r="DA223" s="1656"/>
      <c r="DB223" s="1656"/>
      <c r="DC223" s="1656"/>
      <c r="DD223" s="1656"/>
      <c r="DE223" s="1656"/>
      <c r="DF223" s="1656"/>
      <c r="DG223" s="1656"/>
      <c r="DH223" s="1656"/>
      <c r="DI223" s="1656"/>
      <c r="DJ223" s="1656"/>
      <c r="DK223" s="1656"/>
      <c r="DL223" s="1656"/>
      <c r="DM223" s="1656"/>
      <c r="DN223" s="1656"/>
      <c r="DO223" s="1656"/>
      <c r="DP223" s="1656"/>
      <c r="DQ223" s="1656"/>
      <c r="DR223" s="1656"/>
      <c r="DS223" s="1656"/>
      <c r="DT223" s="1656"/>
      <c r="DU223" s="1656"/>
      <c r="DV223" s="1656"/>
      <c r="DW223" s="1656"/>
      <c r="DX223" s="1656"/>
      <c r="DY223" s="1656"/>
      <c r="DZ223" s="1656"/>
      <c r="EA223" s="1656"/>
      <c r="EB223" s="1656"/>
      <c r="EC223" s="1656"/>
      <c r="ED223" s="1656"/>
      <c r="EE223" s="1656"/>
      <c r="EF223" s="1656"/>
      <c r="EG223" s="1656"/>
      <c r="EH223" s="1656"/>
      <c r="EI223" s="1656"/>
      <c r="EJ223" s="1656"/>
      <c r="EK223" s="1656"/>
      <c r="EL223" s="1656"/>
      <c r="EM223" s="1656"/>
      <c r="EN223" s="1656"/>
      <c r="EO223" s="1656"/>
      <c r="EP223" s="1656"/>
      <c r="EQ223" s="1656"/>
      <c r="ER223" s="1656"/>
      <c r="ES223" s="1656"/>
      <c r="ET223" s="1656"/>
      <c r="EU223" s="1656"/>
      <c r="EV223" s="1656"/>
      <c r="EW223" s="1656"/>
      <c r="EX223" s="1656"/>
      <c r="EY223" s="1656"/>
      <c r="EZ223" s="1656"/>
      <c r="FA223" s="1656"/>
      <c r="FB223" s="1656"/>
      <c r="FC223" s="1656"/>
      <c r="FD223" s="1656"/>
      <c r="FE223" s="1656"/>
      <c r="FF223" s="1656"/>
    </row>
    <row r="225" spans="6:162" s="1658" customFormat="1" ht="15.75" customHeight="1">
      <c r="F225" s="1656"/>
      <c r="G225" s="1656"/>
      <c r="H225" s="1656"/>
      <c r="I225" s="1656"/>
      <c r="J225" s="1656"/>
      <c r="K225" s="1656"/>
      <c r="L225" s="1656"/>
      <c r="M225" s="1656"/>
      <c r="N225" s="1656"/>
      <c r="O225" s="1656"/>
      <c r="P225" s="1656"/>
      <c r="Q225" s="1656"/>
      <c r="R225" s="1656"/>
      <c r="S225" s="1656"/>
      <c r="T225" s="1656"/>
      <c r="U225" s="1656"/>
      <c r="V225" s="1656"/>
      <c r="W225" s="1656"/>
      <c r="X225" s="1656"/>
      <c r="Y225" s="1656"/>
      <c r="AA225" s="1656"/>
      <c r="AC225" s="1656"/>
      <c r="AD225" s="1656"/>
      <c r="AE225" s="1656"/>
      <c r="AF225" s="1656"/>
      <c r="AG225" s="1656"/>
      <c r="AH225" s="1657"/>
      <c r="AI225" s="1657"/>
      <c r="AJ225" s="1656"/>
      <c r="AK225" s="1656"/>
      <c r="AL225" s="1656"/>
      <c r="AM225" s="1656"/>
      <c r="AN225" s="1656"/>
      <c r="AO225" s="1656"/>
      <c r="AP225" s="1656"/>
      <c r="AQ225" s="1656"/>
      <c r="AR225" s="1656"/>
      <c r="AS225" s="1656"/>
      <c r="AT225" s="1656"/>
      <c r="AU225" s="1656"/>
      <c r="AV225" s="1656"/>
      <c r="AW225" s="1656"/>
      <c r="AX225" s="1656"/>
      <c r="AY225" s="1656"/>
      <c r="AZ225" s="1656"/>
      <c r="BA225" s="1656"/>
      <c r="BB225" s="1656"/>
      <c r="BC225" s="1656"/>
      <c r="BD225" s="1656"/>
      <c r="BE225" s="1656"/>
      <c r="BF225" s="1656"/>
      <c r="BG225" s="1656"/>
      <c r="BH225" s="1656"/>
      <c r="BI225" s="1656"/>
      <c r="BJ225" s="1656"/>
      <c r="BK225" s="1656"/>
      <c r="BL225" s="1656"/>
      <c r="BM225" s="1656"/>
      <c r="BN225" s="1656"/>
      <c r="BO225" s="1656"/>
      <c r="BP225" s="1656"/>
      <c r="BQ225" s="1656"/>
      <c r="BR225" s="1656"/>
      <c r="BS225" s="1656"/>
      <c r="BT225" s="1656"/>
      <c r="BU225" s="1656"/>
      <c r="BV225" s="1656"/>
      <c r="BW225" s="1656"/>
      <c r="BX225" s="1656"/>
      <c r="BY225" s="1656"/>
      <c r="BZ225" s="1656"/>
      <c r="CA225" s="1656"/>
      <c r="CB225" s="1656"/>
      <c r="CC225" s="1656"/>
      <c r="CD225" s="1656"/>
      <c r="CE225" s="1656"/>
      <c r="CF225" s="1656"/>
      <c r="CG225" s="1656"/>
      <c r="CH225" s="1656"/>
      <c r="CI225" s="1656"/>
      <c r="CJ225" s="1656"/>
      <c r="CK225" s="1656"/>
      <c r="CL225" s="1656"/>
      <c r="CM225" s="1656"/>
      <c r="CN225" s="1656"/>
      <c r="CO225" s="1656"/>
      <c r="CP225" s="1656"/>
      <c r="CQ225" s="1656"/>
      <c r="CR225" s="1656"/>
      <c r="CS225" s="1656"/>
      <c r="CT225" s="1656"/>
      <c r="CU225" s="1656"/>
      <c r="CV225" s="1656"/>
      <c r="CW225" s="1656"/>
      <c r="CX225" s="1656"/>
      <c r="CY225" s="1656"/>
      <c r="CZ225" s="1656"/>
      <c r="DA225" s="1656"/>
      <c r="DB225" s="1656"/>
      <c r="DC225" s="1656"/>
      <c r="DD225" s="1656"/>
      <c r="DE225" s="1656"/>
      <c r="DF225" s="1656"/>
      <c r="DG225" s="1656"/>
      <c r="DH225" s="1656"/>
      <c r="DI225" s="1656"/>
      <c r="DJ225" s="1656"/>
      <c r="DK225" s="1656"/>
      <c r="DL225" s="1656"/>
      <c r="DM225" s="1656"/>
      <c r="DN225" s="1656"/>
      <c r="DO225" s="1656"/>
      <c r="DP225" s="1656"/>
      <c r="DQ225" s="1656"/>
      <c r="DR225" s="1656"/>
      <c r="DS225" s="1656"/>
      <c r="DT225" s="1656"/>
      <c r="DU225" s="1656"/>
      <c r="DV225" s="1656"/>
      <c r="DW225" s="1656"/>
      <c r="DX225" s="1656"/>
      <c r="DY225" s="1656"/>
      <c r="DZ225" s="1656"/>
      <c r="EA225" s="1656"/>
      <c r="EB225" s="1656"/>
      <c r="EC225" s="1656"/>
      <c r="ED225" s="1656"/>
      <c r="EE225" s="1656"/>
      <c r="EF225" s="1656"/>
      <c r="EG225" s="1656"/>
      <c r="EH225" s="1656"/>
      <c r="EI225" s="1656"/>
      <c r="EJ225" s="1656"/>
      <c r="EK225" s="1656"/>
      <c r="EL225" s="1656"/>
      <c r="EM225" s="1656"/>
      <c r="EN225" s="1656"/>
      <c r="EO225" s="1656"/>
      <c r="EP225" s="1656"/>
      <c r="EQ225" s="1656"/>
      <c r="ER225" s="1656"/>
      <c r="ES225" s="1656"/>
      <c r="ET225" s="1656"/>
      <c r="EU225" s="1656"/>
      <c r="EV225" s="1656"/>
      <c r="EW225" s="1656"/>
      <c r="EX225" s="1656"/>
      <c r="EY225" s="1656"/>
      <c r="EZ225" s="1656"/>
      <c r="FA225" s="1656"/>
      <c r="FB225" s="1656"/>
      <c r="FC225" s="1656"/>
      <c r="FD225" s="1656"/>
      <c r="FE225" s="1656"/>
      <c r="FF225" s="1656"/>
    </row>
    <row r="227" spans="6:162" s="1658" customFormat="1" ht="15.75" customHeight="1">
      <c r="F227" s="1656"/>
      <c r="G227" s="1656"/>
      <c r="H227" s="1656"/>
      <c r="I227" s="1656"/>
      <c r="J227" s="1656"/>
      <c r="K227" s="1656"/>
      <c r="L227" s="1656"/>
      <c r="M227" s="1656"/>
      <c r="N227" s="1656"/>
      <c r="O227" s="1656"/>
      <c r="P227" s="1656"/>
      <c r="Q227" s="1656"/>
      <c r="R227" s="1656"/>
      <c r="S227" s="1656"/>
      <c r="T227" s="1656"/>
      <c r="U227" s="1656"/>
      <c r="V227" s="1656"/>
      <c r="W227" s="1656"/>
      <c r="X227" s="1656"/>
      <c r="Y227" s="1656"/>
      <c r="AA227" s="1656"/>
      <c r="AC227" s="1656"/>
      <c r="AD227" s="1656"/>
      <c r="AE227" s="1656"/>
      <c r="AF227" s="1656"/>
      <c r="AG227" s="1656"/>
      <c r="AH227" s="1657"/>
      <c r="AI227" s="1657"/>
      <c r="AJ227" s="1656"/>
      <c r="AK227" s="1656"/>
      <c r="AL227" s="1656"/>
      <c r="AM227" s="1656"/>
      <c r="AN227" s="1656"/>
      <c r="AO227" s="1656"/>
      <c r="AP227" s="1656"/>
      <c r="AQ227" s="1656"/>
      <c r="AR227" s="1656"/>
      <c r="AS227" s="1656"/>
      <c r="AT227" s="1656"/>
      <c r="AU227" s="1656"/>
      <c r="AV227" s="1656"/>
      <c r="AW227" s="1656"/>
      <c r="AX227" s="1656"/>
      <c r="AY227" s="1656"/>
      <c r="AZ227" s="1656"/>
      <c r="BA227" s="1656"/>
      <c r="BB227" s="1656"/>
      <c r="BC227" s="1656"/>
      <c r="BD227" s="1656"/>
      <c r="BE227" s="1656"/>
      <c r="BF227" s="1656"/>
      <c r="BG227" s="1656"/>
      <c r="BH227" s="1656"/>
      <c r="BI227" s="1656"/>
      <c r="BJ227" s="1656"/>
      <c r="BK227" s="1656"/>
      <c r="BL227" s="1656"/>
      <c r="BM227" s="1656"/>
      <c r="BN227" s="1656"/>
      <c r="BO227" s="1656"/>
      <c r="BP227" s="1656"/>
      <c r="BQ227" s="1656"/>
      <c r="BR227" s="1656"/>
      <c r="BS227" s="1656"/>
      <c r="BT227" s="1656"/>
      <c r="BU227" s="1656"/>
      <c r="BV227" s="1656"/>
      <c r="BW227" s="1656"/>
      <c r="BX227" s="1656"/>
      <c r="BY227" s="1656"/>
      <c r="BZ227" s="1656"/>
      <c r="CA227" s="1656"/>
      <c r="CB227" s="1656"/>
      <c r="CC227" s="1656"/>
      <c r="CD227" s="1656"/>
      <c r="CE227" s="1656"/>
      <c r="CF227" s="1656"/>
      <c r="CG227" s="1656"/>
      <c r="CH227" s="1656"/>
      <c r="CI227" s="1656"/>
      <c r="CJ227" s="1656"/>
      <c r="CK227" s="1656"/>
      <c r="CL227" s="1656"/>
      <c r="CM227" s="1656"/>
      <c r="CN227" s="1656"/>
      <c r="CO227" s="1656"/>
      <c r="CP227" s="1656"/>
      <c r="CQ227" s="1656"/>
      <c r="CR227" s="1656"/>
      <c r="CS227" s="1656"/>
      <c r="CT227" s="1656"/>
      <c r="CU227" s="1656"/>
      <c r="CV227" s="1656"/>
      <c r="CW227" s="1656"/>
      <c r="CX227" s="1656"/>
      <c r="CY227" s="1656"/>
      <c r="CZ227" s="1656"/>
      <c r="DA227" s="1656"/>
      <c r="DB227" s="1656"/>
      <c r="DC227" s="1656"/>
      <c r="DD227" s="1656"/>
      <c r="DE227" s="1656"/>
      <c r="DF227" s="1656"/>
      <c r="DG227" s="1656"/>
      <c r="DH227" s="1656"/>
      <c r="DI227" s="1656"/>
      <c r="DJ227" s="1656"/>
      <c r="DK227" s="1656"/>
      <c r="DL227" s="1656"/>
      <c r="DM227" s="1656"/>
      <c r="DN227" s="1656"/>
      <c r="DO227" s="1656"/>
      <c r="DP227" s="1656"/>
      <c r="DQ227" s="1656"/>
      <c r="DR227" s="1656"/>
      <c r="DS227" s="1656"/>
      <c r="DT227" s="1656"/>
      <c r="DU227" s="1656"/>
      <c r="DV227" s="1656"/>
      <c r="DW227" s="1656"/>
      <c r="DX227" s="1656"/>
      <c r="DY227" s="1656"/>
      <c r="DZ227" s="1656"/>
      <c r="EA227" s="1656"/>
      <c r="EB227" s="1656"/>
      <c r="EC227" s="1656"/>
      <c r="ED227" s="1656"/>
      <c r="EE227" s="1656"/>
      <c r="EF227" s="1656"/>
      <c r="EG227" s="1656"/>
      <c r="EH227" s="1656"/>
      <c r="EI227" s="1656"/>
      <c r="EJ227" s="1656"/>
      <c r="EK227" s="1656"/>
      <c r="EL227" s="1656"/>
      <c r="EM227" s="1656"/>
      <c r="EN227" s="1656"/>
      <c r="EO227" s="1656"/>
      <c r="EP227" s="1656"/>
      <c r="EQ227" s="1656"/>
      <c r="ER227" s="1656"/>
      <c r="ES227" s="1656"/>
      <c r="ET227" s="1656"/>
      <c r="EU227" s="1656"/>
      <c r="EV227" s="1656"/>
      <c r="EW227" s="1656"/>
      <c r="EX227" s="1656"/>
      <c r="EY227" s="1656"/>
      <c r="EZ227" s="1656"/>
      <c r="FA227" s="1656"/>
      <c r="FB227" s="1656"/>
      <c r="FC227" s="1656"/>
      <c r="FD227" s="1656"/>
      <c r="FE227" s="1656"/>
      <c r="FF227" s="1656"/>
    </row>
    <row r="229" spans="6:162" s="1658" customFormat="1" ht="15.75" customHeight="1">
      <c r="F229" s="1656"/>
      <c r="G229" s="1656"/>
      <c r="H229" s="1656"/>
      <c r="I229" s="1656"/>
      <c r="J229" s="1656"/>
      <c r="K229" s="1656"/>
      <c r="L229" s="1656"/>
      <c r="M229" s="1656"/>
      <c r="N229" s="1656"/>
      <c r="O229" s="1656"/>
      <c r="P229" s="1656"/>
      <c r="Q229" s="1656"/>
      <c r="R229" s="1656"/>
      <c r="S229" s="1656"/>
      <c r="T229" s="1656"/>
      <c r="U229" s="1656"/>
      <c r="V229" s="1656"/>
      <c r="W229" s="1656"/>
      <c r="X229" s="1656"/>
      <c r="Y229" s="1656"/>
      <c r="AA229" s="1656"/>
      <c r="AC229" s="1656"/>
      <c r="AD229" s="1656"/>
      <c r="AE229" s="1656"/>
      <c r="AF229" s="1656"/>
      <c r="AG229" s="1656"/>
      <c r="AH229" s="1657"/>
      <c r="AI229" s="1657"/>
      <c r="AJ229" s="1656"/>
      <c r="AK229" s="1656"/>
      <c r="AL229" s="1656"/>
      <c r="AM229" s="1656"/>
      <c r="AN229" s="1656"/>
      <c r="AO229" s="1656"/>
      <c r="AP229" s="1656"/>
      <c r="AQ229" s="1656"/>
      <c r="AR229" s="1656"/>
      <c r="AS229" s="1656"/>
      <c r="AT229" s="1656"/>
      <c r="AU229" s="1656"/>
      <c r="AV229" s="1656"/>
      <c r="AW229" s="1656"/>
      <c r="AX229" s="1656"/>
      <c r="AY229" s="1656"/>
      <c r="AZ229" s="1656"/>
      <c r="BA229" s="1656"/>
      <c r="BB229" s="1656"/>
      <c r="BC229" s="1656"/>
      <c r="BD229" s="1656"/>
      <c r="BE229" s="1656"/>
      <c r="BF229" s="1656"/>
      <c r="BG229" s="1656"/>
      <c r="BH229" s="1656"/>
      <c r="BI229" s="1656"/>
      <c r="BJ229" s="1656"/>
      <c r="BK229" s="1656"/>
      <c r="BL229" s="1656"/>
      <c r="BM229" s="1656"/>
      <c r="BN229" s="1656"/>
      <c r="BO229" s="1656"/>
      <c r="BP229" s="1656"/>
      <c r="BQ229" s="1656"/>
      <c r="BR229" s="1656"/>
      <c r="BS229" s="1656"/>
      <c r="BT229" s="1656"/>
      <c r="BU229" s="1656"/>
      <c r="BV229" s="1656"/>
      <c r="BW229" s="1656"/>
      <c r="BX229" s="1656"/>
      <c r="BY229" s="1656"/>
      <c r="BZ229" s="1656"/>
      <c r="CA229" s="1656"/>
      <c r="CB229" s="1656"/>
      <c r="CC229" s="1656"/>
      <c r="CD229" s="1656"/>
      <c r="CE229" s="1656"/>
      <c r="CF229" s="1656"/>
      <c r="CG229" s="1656"/>
      <c r="CH229" s="1656"/>
      <c r="CI229" s="1656"/>
      <c r="CJ229" s="1656"/>
      <c r="CK229" s="1656"/>
      <c r="CL229" s="1656"/>
      <c r="CM229" s="1656"/>
      <c r="CN229" s="1656"/>
      <c r="CO229" s="1656"/>
      <c r="CP229" s="1656"/>
      <c r="CQ229" s="1656"/>
      <c r="CR229" s="1656"/>
      <c r="CS229" s="1656"/>
      <c r="CT229" s="1656"/>
      <c r="CU229" s="1656"/>
      <c r="CV229" s="1656"/>
      <c r="CW229" s="1656"/>
      <c r="CX229" s="1656"/>
      <c r="CY229" s="1656"/>
      <c r="CZ229" s="1656"/>
      <c r="DA229" s="1656"/>
      <c r="DB229" s="1656"/>
      <c r="DC229" s="1656"/>
      <c r="DD229" s="1656"/>
      <c r="DE229" s="1656"/>
      <c r="DF229" s="1656"/>
      <c r="DG229" s="1656"/>
      <c r="DH229" s="1656"/>
      <c r="DI229" s="1656"/>
      <c r="DJ229" s="1656"/>
      <c r="DK229" s="1656"/>
      <c r="DL229" s="1656"/>
      <c r="DM229" s="1656"/>
      <c r="DN229" s="1656"/>
      <c r="DO229" s="1656"/>
      <c r="DP229" s="1656"/>
      <c r="DQ229" s="1656"/>
      <c r="DR229" s="1656"/>
      <c r="DS229" s="1656"/>
      <c r="DT229" s="1656"/>
      <c r="DU229" s="1656"/>
      <c r="DV229" s="1656"/>
      <c r="DW229" s="1656"/>
      <c r="DX229" s="1656"/>
      <c r="DY229" s="1656"/>
      <c r="DZ229" s="1656"/>
      <c r="EA229" s="1656"/>
      <c r="EB229" s="1656"/>
      <c r="EC229" s="1656"/>
      <c r="ED229" s="1656"/>
      <c r="EE229" s="1656"/>
      <c r="EF229" s="1656"/>
      <c r="EG229" s="1656"/>
      <c r="EH229" s="1656"/>
      <c r="EI229" s="1656"/>
      <c r="EJ229" s="1656"/>
      <c r="EK229" s="1656"/>
      <c r="EL229" s="1656"/>
      <c r="EM229" s="1656"/>
      <c r="EN229" s="1656"/>
      <c r="EO229" s="1656"/>
      <c r="EP229" s="1656"/>
      <c r="EQ229" s="1656"/>
      <c r="ER229" s="1656"/>
      <c r="ES229" s="1656"/>
      <c r="ET229" s="1656"/>
      <c r="EU229" s="1656"/>
      <c r="EV229" s="1656"/>
      <c r="EW229" s="1656"/>
      <c r="EX229" s="1656"/>
      <c r="EY229" s="1656"/>
      <c r="EZ229" s="1656"/>
      <c r="FA229" s="1656"/>
      <c r="FB229" s="1656"/>
      <c r="FC229" s="1656"/>
      <c r="FD229" s="1656"/>
      <c r="FE229" s="1656"/>
      <c r="FF229" s="1656"/>
    </row>
    <row r="231" spans="6:162" s="1658" customFormat="1" ht="15.75" customHeight="1">
      <c r="F231" s="1656"/>
      <c r="G231" s="1656"/>
      <c r="H231" s="1656"/>
      <c r="I231" s="1656"/>
      <c r="J231" s="1656"/>
      <c r="K231" s="1656"/>
      <c r="L231" s="1656"/>
      <c r="M231" s="1656"/>
      <c r="N231" s="1656"/>
      <c r="O231" s="1656"/>
      <c r="P231" s="1656"/>
      <c r="Q231" s="1656"/>
      <c r="R231" s="1656"/>
      <c r="S231" s="1656"/>
      <c r="T231" s="1656"/>
      <c r="U231" s="1656"/>
      <c r="V231" s="1656"/>
      <c r="W231" s="1656"/>
      <c r="X231" s="1656"/>
      <c r="Y231" s="1656"/>
      <c r="AA231" s="1656"/>
      <c r="AC231" s="1656"/>
      <c r="AD231" s="1656"/>
      <c r="AE231" s="1656"/>
      <c r="AF231" s="1656"/>
      <c r="AG231" s="1656"/>
      <c r="AH231" s="1657"/>
      <c r="AI231" s="1657"/>
      <c r="AJ231" s="1656"/>
      <c r="AK231" s="1656"/>
      <c r="AL231" s="1656"/>
      <c r="AM231" s="1656"/>
      <c r="AN231" s="1656"/>
      <c r="AO231" s="1656"/>
      <c r="AP231" s="1656"/>
      <c r="AQ231" s="1656"/>
      <c r="AR231" s="1656"/>
      <c r="AS231" s="1656"/>
      <c r="AT231" s="1656"/>
      <c r="AU231" s="1656"/>
      <c r="AV231" s="1656"/>
      <c r="AW231" s="1656"/>
      <c r="AX231" s="1656"/>
      <c r="AY231" s="1656"/>
      <c r="AZ231" s="1656"/>
      <c r="BA231" s="1656"/>
      <c r="BB231" s="1656"/>
      <c r="BC231" s="1656"/>
      <c r="BD231" s="1656"/>
      <c r="BE231" s="1656"/>
      <c r="BF231" s="1656"/>
      <c r="BG231" s="1656"/>
      <c r="BH231" s="1656"/>
      <c r="BI231" s="1656"/>
      <c r="BJ231" s="1656"/>
      <c r="BK231" s="1656"/>
      <c r="BL231" s="1656"/>
      <c r="BM231" s="1656"/>
      <c r="BN231" s="1656"/>
      <c r="BO231" s="1656"/>
      <c r="BP231" s="1656"/>
      <c r="BQ231" s="1656"/>
      <c r="BR231" s="1656"/>
      <c r="BS231" s="1656"/>
      <c r="BT231" s="1656"/>
      <c r="BU231" s="1656"/>
      <c r="BV231" s="1656"/>
      <c r="BW231" s="1656"/>
      <c r="BX231" s="1656"/>
      <c r="BY231" s="1656"/>
      <c r="BZ231" s="1656"/>
      <c r="CA231" s="1656"/>
      <c r="CB231" s="1656"/>
      <c r="CC231" s="1656"/>
      <c r="CD231" s="1656"/>
      <c r="CE231" s="1656"/>
      <c r="CF231" s="1656"/>
      <c r="CG231" s="1656"/>
      <c r="CH231" s="1656"/>
      <c r="CI231" s="1656"/>
      <c r="CJ231" s="1656"/>
      <c r="CK231" s="1656"/>
      <c r="CL231" s="1656"/>
      <c r="CM231" s="1656"/>
      <c r="CN231" s="1656"/>
      <c r="CO231" s="1656"/>
      <c r="CP231" s="1656"/>
      <c r="CQ231" s="1656"/>
      <c r="CR231" s="1656"/>
      <c r="CS231" s="1656"/>
      <c r="CT231" s="1656"/>
      <c r="CU231" s="1656"/>
      <c r="CV231" s="1656"/>
      <c r="CW231" s="1656"/>
      <c r="CX231" s="1656"/>
      <c r="CY231" s="1656"/>
      <c r="CZ231" s="1656"/>
      <c r="DA231" s="1656"/>
      <c r="DB231" s="1656"/>
      <c r="DC231" s="1656"/>
      <c r="DD231" s="1656"/>
      <c r="DE231" s="1656"/>
      <c r="DF231" s="1656"/>
      <c r="DG231" s="1656"/>
      <c r="DH231" s="1656"/>
      <c r="DI231" s="1656"/>
      <c r="DJ231" s="1656"/>
      <c r="DK231" s="1656"/>
      <c r="DL231" s="1656"/>
      <c r="DM231" s="1656"/>
      <c r="DN231" s="1656"/>
      <c r="DO231" s="1656"/>
      <c r="DP231" s="1656"/>
      <c r="DQ231" s="1656"/>
      <c r="DR231" s="1656"/>
      <c r="DS231" s="1656"/>
      <c r="DT231" s="1656"/>
      <c r="DU231" s="1656"/>
      <c r="DV231" s="1656"/>
      <c r="DW231" s="1656"/>
      <c r="DX231" s="1656"/>
      <c r="DY231" s="1656"/>
      <c r="DZ231" s="1656"/>
      <c r="EA231" s="1656"/>
      <c r="EB231" s="1656"/>
      <c r="EC231" s="1656"/>
      <c r="ED231" s="1656"/>
      <c r="EE231" s="1656"/>
      <c r="EF231" s="1656"/>
      <c r="EG231" s="1656"/>
      <c r="EH231" s="1656"/>
      <c r="EI231" s="1656"/>
      <c r="EJ231" s="1656"/>
      <c r="EK231" s="1656"/>
      <c r="EL231" s="1656"/>
      <c r="EM231" s="1656"/>
      <c r="EN231" s="1656"/>
      <c r="EO231" s="1656"/>
      <c r="EP231" s="1656"/>
      <c r="EQ231" s="1656"/>
      <c r="ER231" s="1656"/>
      <c r="ES231" s="1656"/>
      <c r="ET231" s="1656"/>
      <c r="EU231" s="1656"/>
      <c r="EV231" s="1656"/>
      <c r="EW231" s="1656"/>
      <c r="EX231" s="1656"/>
      <c r="EY231" s="1656"/>
      <c r="EZ231" s="1656"/>
      <c r="FA231" s="1656"/>
      <c r="FB231" s="1656"/>
      <c r="FC231" s="1656"/>
      <c r="FD231" s="1656"/>
      <c r="FE231" s="1656"/>
      <c r="FF231" s="1656"/>
    </row>
    <row r="233" spans="6:162" s="1658" customFormat="1" ht="15.75" customHeight="1">
      <c r="F233" s="1656"/>
      <c r="G233" s="1656"/>
      <c r="H233" s="1656"/>
      <c r="I233" s="1656"/>
      <c r="J233" s="1656"/>
      <c r="K233" s="1656"/>
      <c r="L233" s="1656"/>
      <c r="M233" s="1656"/>
      <c r="N233" s="1656"/>
      <c r="O233" s="1656"/>
      <c r="P233" s="1656"/>
      <c r="Q233" s="1656"/>
      <c r="R233" s="1656"/>
      <c r="S233" s="1656"/>
      <c r="T233" s="1656"/>
      <c r="U233" s="1656"/>
      <c r="V233" s="1656"/>
      <c r="W233" s="1656"/>
      <c r="X233" s="1656"/>
      <c r="Y233" s="1656"/>
      <c r="AA233" s="1656"/>
      <c r="AC233" s="1656"/>
      <c r="AD233" s="1656"/>
      <c r="AE233" s="1656"/>
      <c r="AF233" s="1656"/>
      <c r="AG233" s="1656"/>
      <c r="AH233" s="1657"/>
      <c r="AI233" s="1657"/>
      <c r="AJ233" s="1656"/>
      <c r="AK233" s="1656"/>
      <c r="AL233" s="1656"/>
      <c r="AM233" s="1656"/>
      <c r="AN233" s="1656"/>
      <c r="AO233" s="1656"/>
      <c r="AP233" s="1656"/>
      <c r="AQ233" s="1656"/>
      <c r="AR233" s="1656"/>
      <c r="AS233" s="1656"/>
      <c r="AT233" s="1656"/>
      <c r="AU233" s="1656"/>
      <c r="AV233" s="1656"/>
      <c r="AW233" s="1656"/>
      <c r="AX233" s="1656"/>
      <c r="AY233" s="1656"/>
      <c r="AZ233" s="1656"/>
      <c r="BA233" s="1656"/>
      <c r="BB233" s="1656"/>
      <c r="BC233" s="1656"/>
      <c r="BD233" s="1656"/>
      <c r="BE233" s="1656"/>
      <c r="BF233" s="1656"/>
      <c r="BG233" s="1656"/>
      <c r="BH233" s="1656"/>
      <c r="BI233" s="1656"/>
      <c r="BJ233" s="1656"/>
      <c r="BK233" s="1656"/>
      <c r="BL233" s="1656"/>
      <c r="BM233" s="1656"/>
      <c r="BN233" s="1656"/>
      <c r="BO233" s="1656"/>
      <c r="BP233" s="1656"/>
      <c r="BQ233" s="1656"/>
      <c r="BR233" s="1656"/>
      <c r="BS233" s="1656"/>
      <c r="BT233" s="1656"/>
      <c r="BU233" s="1656"/>
      <c r="BV233" s="1656"/>
      <c r="BW233" s="1656"/>
      <c r="BX233" s="1656"/>
      <c r="BY233" s="1656"/>
      <c r="BZ233" s="1656"/>
      <c r="CA233" s="1656"/>
      <c r="CB233" s="1656"/>
      <c r="CC233" s="1656"/>
      <c r="CD233" s="1656"/>
      <c r="CE233" s="1656"/>
      <c r="CF233" s="1656"/>
      <c r="CG233" s="1656"/>
      <c r="CH233" s="1656"/>
      <c r="CI233" s="1656"/>
      <c r="CJ233" s="1656"/>
      <c r="CK233" s="1656"/>
      <c r="CL233" s="1656"/>
      <c r="CM233" s="1656"/>
      <c r="CN233" s="1656"/>
      <c r="CO233" s="1656"/>
      <c r="CP233" s="1656"/>
      <c r="CQ233" s="1656"/>
      <c r="CR233" s="1656"/>
      <c r="CS233" s="1656"/>
      <c r="CT233" s="1656"/>
      <c r="CU233" s="1656"/>
      <c r="CV233" s="1656"/>
      <c r="CW233" s="1656"/>
      <c r="CX233" s="1656"/>
      <c r="CY233" s="1656"/>
      <c r="CZ233" s="1656"/>
      <c r="DA233" s="1656"/>
      <c r="DB233" s="1656"/>
      <c r="DC233" s="1656"/>
      <c r="DD233" s="1656"/>
      <c r="DE233" s="1656"/>
      <c r="DF233" s="1656"/>
      <c r="DG233" s="1656"/>
      <c r="DH233" s="1656"/>
      <c r="DI233" s="1656"/>
      <c r="DJ233" s="1656"/>
      <c r="DK233" s="1656"/>
      <c r="DL233" s="1656"/>
      <c r="DM233" s="1656"/>
      <c r="DN233" s="1656"/>
      <c r="DO233" s="1656"/>
      <c r="DP233" s="1656"/>
      <c r="DQ233" s="1656"/>
      <c r="DR233" s="1656"/>
      <c r="DS233" s="1656"/>
      <c r="DT233" s="1656"/>
      <c r="DU233" s="1656"/>
      <c r="DV233" s="1656"/>
      <c r="DW233" s="1656"/>
      <c r="DX233" s="1656"/>
      <c r="DY233" s="1656"/>
      <c r="DZ233" s="1656"/>
      <c r="EA233" s="1656"/>
      <c r="EB233" s="1656"/>
      <c r="EC233" s="1656"/>
      <c r="ED233" s="1656"/>
      <c r="EE233" s="1656"/>
      <c r="EF233" s="1656"/>
      <c r="EG233" s="1656"/>
      <c r="EH233" s="1656"/>
      <c r="EI233" s="1656"/>
      <c r="EJ233" s="1656"/>
      <c r="EK233" s="1656"/>
      <c r="EL233" s="1656"/>
      <c r="EM233" s="1656"/>
      <c r="EN233" s="1656"/>
      <c r="EO233" s="1656"/>
      <c r="EP233" s="1656"/>
      <c r="EQ233" s="1656"/>
      <c r="ER233" s="1656"/>
      <c r="ES233" s="1656"/>
      <c r="ET233" s="1656"/>
      <c r="EU233" s="1656"/>
      <c r="EV233" s="1656"/>
      <c r="EW233" s="1656"/>
      <c r="EX233" s="1656"/>
      <c r="EY233" s="1656"/>
      <c r="EZ233" s="1656"/>
      <c r="FA233" s="1656"/>
      <c r="FB233" s="1656"/>
      <c r="FC233" s="1656"/>
      <c r="FD233" s="1656"/>
      <c r="FE233" s="1656"/>
      <c r="FF233" s="1656"/>
    </row>
    <row r="235" spans="6:162" s="1658" customFormat="1" ht="15.75" customHeight="1">
      <c r="F235" s="1656"/>
      <c r="G235" s="1656"/>
      <c r="H235" s="1656"/>
      <c r="I235" s="1656"/>
      <c r="J235" s="1656"/>
      <c r="K235" s="1656"/>
      <c r="L235" s="1656"/>
      <c r="M235" s="1656"/>
      <c r="N235" s="1656"/>
      <c r="O235" s="1656"/>
      <c r="P235" s="1656"/>
      <c r="Q235" s="1656"/>
      <c r="R235" s="1656"/>
      <c r="S235" s="1656"/>
      <c r="T235" s="1656"/>
      <c r="U235" s="1656"/>
      <c r="V235" s="1656"/>
      <c r="W235" s="1656"/>
      <c r="X235" s="1656"/>
      <c r="Y235" s="1656"/>
      <c r="AA235" s="1656"/>
      <c r="AC235" s="1656"/>
      <c r="AD235" s="1656"/>
      <c r="AE235" s="1656"/>
      <c r="AF235" s="1656"/>
      <c r="AG235" s="1656"/>
      <c r="AH235" s="1657"/>
      <c r="AI235" s="1657"/>
      <c r="AJ235" s="1656"/>
      <c r="AK235" s="1656"/>
      <c r="AL235" s="1656"/>
      <c r="AM235" s="1656"/>
      <c r="AN235" s="1656"/>
      <c r="AO235" s="1656"/>
      <c r="AP235" s="1656"/>
      <c r="AQ235" s="1656"/>
      <c r="AR235" s="1656"/>
      <c r="AS235" s="1656"/>
      <c r="AT235" s="1656"/>
      <c r="AU235" s="1656"/>
      <c r="AV235" s="1656"/>
      <c r="AW235" s="1656"/>
      <c r="AX235" s="1656"/>
      <c r="AY235" s="1656"/>
      <c r="AZ235" s="1656"/>
      <c r="BA235" s="1656"/>
      <c r="BB235" s="1656"/>
      <c r="BC235" s="1656"/>
      <c r="BD235" s="1656"/>
      <c r="BE235" s="1656"/>
      <c r="BF235" s="1656"/>
      <c r="BG235" s="1656"/>
      <c r="BH235" s="1656"/>
      <c r="BI235" s="1656"/>
      <c r="BJ235" s="1656"/>
      <c r="BK235" s="1656"/>
      <c r="BL235" s="1656"/>
      <c r="BM235" s="1656"/>
      <c r="BN235" s="1656"/>
      <c r="BO235" s="1656"/>
      <c r="BP235" s="1656"/>
      <c r="BQ235" s="1656"/>
      <c r="BR235" s="1656"/>
      <c r="BS235" s="1656"/>
      <c r="BT235" s="1656"/>
      <c r="BU235" s="1656"/>
      <c r="BV235" s="1656"/>
      <c r="BW235" s="1656"/>
      <c r="BX235" s="1656"/>
      <c r="BY235" s="1656"/>
      <c r="BZ235" s="1656"/>
      <c r="CA235" s="1656"/>
      <c r="CB235" s="1656"/>
      <c r="CC235" s="1656"/>
      <c r="CD235" s="1656"/>
      <c r="CE235" s="1656"/>
      <c r="CF235" s="1656"/>
      <c r="CG235" s="1656"/>
      <c r="CH235" s="1656"/>
      <c r="CI235" s="1656"/>
      <c r="CJ235" s="1656"/>
      <c r="CK235" s="1656"/>
      <c r="CL235" s="1656"/>
      <c r="CM235" s="1656"/>
      <c r="CN235" s="1656"/>
      <c r="CO235" s="1656"/>
      <c r="CP235" s="1656"/>
      <c r="CQ235" s="1656"/>
      <c r="CR235" s="1656"/>
      <c r="CS235" s="1656"/>
      <c r="CT235" s="1656"/>
      <c r="CU235" s="1656"/>
      <c r="CV235" s="1656"/>
      <c r="CW235" s="1656"/>
      <c r="CX235" s="1656"/>
      <c r="CY235" s="1656"/>
      <c r="CZ235" s="1656"/>
      <c r="DA235" s="1656"/>
      <c r="DB235" s="1656"/>
      <c r="DC235" s="1656"/>
      <c r="DD235" s="1656"/>
      <c r="DE235" s="1656"/>
      <c r="DF235" s="1656"/>
      <c r="DG235" s="1656"/>
      <c r="DH235" s="1656"/>
      <c r="DI235" s="1656"/>
      <c r="DJ235" s="1656"/>
      <c r="DK235" s="1656"/>
      <c r="DL235" s="1656"/>
      <c r="DM235" s="1656"/>
      <c r="DN235" s="1656"/>
      <c r="DO235" s="1656"/>
      <c r="DP235" s="1656"/>
      <c r="DQ235" s="1656"/>
      <c r="DR235" s="1656"/>
      <c r="DS235" s="1656"/>
      <c r="DT235" s="1656"/>
      <c r="DU235" s="1656"/>
      <c r="DV235" s="1656"/>
      <c r="DW235" s="1656"/>
      <c r="DX235" s="1656"/>
      <c r="DY235" s="1656"/>
      <c r="DZ235" s="1656"/>
      <c r="EA235" s="1656"/>
      <c r="EB235" s="1656"/>
      <c r="EC235" s="1656"/>
      <c r="ED235" s="1656"/>
      <c r="EE235" s="1656"/>
      <c r="EF235" s="1656"/>
      <c r="EG235" s="1656"/>
      <c r="EH235" s="1656"/>
      <c r="EI235" s="1656"/>
      <c r="EJ235" s="1656"/>
      <c r="EK235" s="1656"/>
      <c r="EL235" s="1656"/>
      <c r="EM235" s="1656"/>
      <c r="EN235" s="1656"/>
      <c r="EO235" s="1656"/>
      <c r="EP235" s="1656"/>
      <c r="EQ235" s="1656"/>
      <c r="ER235" s="1656"/>
      <c r="ES235" s="1656"/>
      <c r="ET235" s="1656"/>
      <c r="EU235" s="1656"/>
      <c r="EV235" s="1656"/>
      <c r="EW235" s="1656"/>
      <c r="EX235" s="1656"/>
      <c r="EY235" s="1656"/>
      <c r="EZ235" s="1656"/>
      <c r="FA235" s="1656"/>
      <c r="FB235" s="1656"/>
      <c r="FC235" s="1656"/>
      <c r="FD235" s="1656"/>
      <c r="FE235" s="1656"/>
      <c r="FF235" s="1656"/>
    </row>
    <row r="237" spans="6:162" s="1658" customFormat="1" ht="15.75" customHeight="1">
      <c r="F237" s="1656"/>
      <c r="G237" s="1656"/>
      <c r="H237" s="1656"/>
      <c r="I237" s="1656"/>
      <c r="J237" s="1656"/>
      <c r="K237" s="1656"/>
      <c r="L237" s="1656"/>
      <c r="M237" s="1656"/>
      <c r="N237" s="1656"/>
      <c r="O237" s="1656"/>
      <c r="P237" s="1656"/>
      <c r="Q237" s="1656"/>
      <c r="R237" s="1656"/>
      <c r="S237" s="1656"/>
      <c r="T237" s="1656"/>
      <c r="U237" s="1656"/>
      <c r="V237" s="1656"/>
      <c r="W237" s="1656"/>
      <c r="X237" s="1656"/>
      <c r="Y237" s="1656"/>
      <c r="AA237" s="1656"/>
      <c r="AC237" s="1656"/>
      <c r="AD237" s="1656"/>
      <c r="AE237" s="1656"/>
      <c r="AF237" s="1656"/>
      <c r="AG237" s="1656"/>
      <c r="AH237" s="1657"/>
      <c r="AI237" s="1657"/>
      <c r="AJ237" s="1656"/>
      <c r="AK237" s="1656"/>
      <c r="AL237" s="1656"/>
      <c r="AM237" s="1656"/>
      <c r="AN237" s="1656"/>
      <c r="AO237" s="1656"/>
      <c r="AP237" s="1656"/>
      <c r="AQ237" s="1656"/>
      <c r="AR237" s="1656"/>
      <c r="AS237" s="1656"/>
      <c r="AT237" s="1656"/>
      <c r="AU237" s="1656"/>
      <c r="AV237" s="1656"/>
      <c r="AW237" s="1656"/>
      <c r="AX237" s="1656"/>
      <c r="AY237" s="1656"/>
      <c r="AZ237" s="1656"/>
      <c r="BA237" s="1656"/>
      <c r="BB237" s="1656"/>
      <c r="BC237" s="1656"/>
      <c r="BD237" s="1656"/>
      <c r="BE237" s="1656"/>
      <c r="BF237" s="1656"/>
      <c r="BG237" s="1656"/>
      <c r="BH237" s="1656"/>
      <c r="BI237" s="1656"/>
      <c r="BJ237" s="1656"/>
      <c r="BK237" s="1656"/>
      <c r="BL237" s="1656"/>
      <c r="BM237" s="1656"/>
      <c r="BN237" s="1656"/>
      <c r="BO237" s="1656"/>
      <c r="BP237" s="1656"/>
      <c r="BQ237" s="1656"/>
      <c r="BR237" s="1656"/>
      <c r="BS237" s="1656"/>
      <c r="BT237" s="1656"/>
      <c r="BU237" s="1656"/>
      <c r="BV237" s="1656"/>
      <c r="BW237" s="1656"/>
      <c r="BX237" s="1656"/>
      <c r="BY237" s="1656"/>
      <c r="BZ237" s="1656"/>
      <c r="CA237" s="1656"/>
      <c r="CB237" s="1656"/>
      <c r="CC237" s="1656"/>
      <c r="CD237" s="1656"/>
      <c r="CE237" s="1656"/>
      <c r="CF237" s="1656"/>
      <c r="CG237" s="1656"/>
      <c r="CH237" s="1656"/>
      <c r="CI237" s="1656"/>
      <c r="CJ237" s="1656"/>
      <c r="CK237" s="1656"/>
      <c r="CL237" s="1656"/>
      <c r="CM237" s="1656"/>
      <c r="CN237" s="1656"/>
      <c r="CO237" s="1656"/>
      <c r="CP237" s="1656"/>
      <c r="CQ237" s="1656"/>
      <c r="CR237" s="1656"/>
      <c r="CS237" s="1656"/>
      <c r="CT237" s="1656"/>
      <c r="CU237" s="1656"/>
      <c r="CV237" s="1656"/>
      <c r="CW237" s="1656"/>
      <c r="CX237" s="1656"/>
      <c r="CY237" s="1656"/>
      <c r="CZ237" s="1656"/>
      <c r="DA237" s="1656"/>
      <c r="DB237" s="1656"/>
      <c r="DC237" s="1656"/>
      <c r="DD237" s="1656"/>
      <c r="DE237" s="1656"/>
      <c r="DF237" s="1656"/>
      <c r="DG237" s="1656"/>
      <c r="DH237" s="1656"/>
      <c r="DI237" s="1656"/>
      <c r="DJ237" s="1656"/>
      <c r="DK237" s="1656"/>
      <c r="DL237" s="1656"/>
      <c r="DM237" s="1656"/>
      <c r="DN237" s="1656"/>
      <c r="DO237" s="1656"/>
      <c r="DP237" s="1656"/>
      <c r="DQ237" s="1656"/>
      <c r="DR237" s="1656"/>
      <c r="DS237" s="1656"/>
      <c r="DT237" s="1656"/>
      <c r="DU237" s="1656"/>
      <c r="DV237" s="1656"/>
      <c r="DW237" s="1656"/>
      <c r="DX237" s="1656"/>
      <c r="DY237" s="1656"/>
      <c r="DZ237" s="1656"/>
      <c r="EA237" s="1656"/>
      <c r="EB237" s="1656"/>
      <c r="EC237" s="1656"/>
      <c r="ED237" s="1656"/>
      <c r="EE237" s="1656"/>
      <c r="EF237" s="1656"/>
      <c r="EG237" s="1656"/>
      <c r="EH237" s="1656"/>
      <c r="EI237" s="1656"/>
      <c r="EJ237" s="1656"/>
      <c r="EK237" s="1656"/>
      <c r="EL237" s="1656"/>
      <c r="EM237" s="1656"/>
      <c r="EN237" s="1656"/>
      <c r="EO237" s="1656"/>
      <c r="EP237" s="1656"/>
      <c r="EQ237" s="1656"/>
      <c r="ER237" s="1656"/>
      <c r="ES237" s="1656"/>
      <c r="ET237" s="1656"/>
      <c r="EU237" s="1656"/>
      <c r="EV237" s="1656"/>
      <c r="EW237" s="1656"/>
      <c r="EX237" s="1656"/>
      <c r="EY237" s="1656"/>
      <c r="EZ237" s="1656"/>
      <c r="FA237" s="1656"/>
      <c r="FB237" s="1656"/>
      <c r="FC237" s="1656"/>
      <c r="FD237" s="1656"/>
      <c r="FE237" s="1656"/>
      <c r="FF237" s="1656"/>
    </row>
    <row r="239" spans="6:162" s="1658" customFormat="1" ht="15.75" customHeight="1">
      <c r="F239" s="1656"/>
      <c r="G239" s="1656"/>
      <c r="H239" s="1656"/>
      <c r="I239" s="1656"/>
      <c r="J239" s="1656"/>
      <c r="K239" s="1656"/>
      <c r="L239" s="1656"/>
      <c r="M239" s="1656"/>
      <c r="N239" s="1656"/>
      <c r="O239" s="1656"/>
      <c r="P239" s="1656"/>
      <c r="Q239" s="1656"/>
      <c r="R239" s="1656"/>
      <c r="S239" s="1656"/>
      <c r="T239" s="1656"/>
      <c r="U239" s="1656"/>
      <c r="V239" s="1656"/>
      <c r="W239" s="1656"/>
      <c r="X239" s="1656"/>
      <c r="Y239" s="1656"/>
      <c r="AA239" s="1656"/>
      <c r="AC239" s="1656"/>
      <c r="AD239" s="1656"/>
      <c r="AE239" s="1656"/>
      <c r="AF239" s="1656"/>
      <c r="AG239" s="1656"/>
      <c r="AH239" s="1657"/>
      <c r="AI239" s="1657"/>
      <c r="AJ239" s="1656"/>
      <c r="AK239" s="1656"/>
      <c r="AL239" s="1656"/>
      <c r="AM239" s="1656"/>
      <c r="AN239" s="1656"/>
      <c r="AO239" s="1656"/>
      <c r="AP239" s="1656"/>
      <c r="AQ239" s="1656"/>
      <c r="AR239" s="1656"/>
      <c r="AS239" s="1656"/>
      <c r="AT239" s="1656"/>
      <c r="AU239" s="1656"/>
      <c r="AV239" s="1656"/>
      <c r="AW239" s="1656"/>
      <c r="AX239" s="1656"/>
      <c r="AY239" s="1656"/>
      <c r="AZ239" s="1656"/>
      <c r="BA239" s="1656"/>
      <c r="BB239" s="1656"/>
      <c r="BC239" s="1656"/>
      <c r="BD239" s="1656"/>
      <c r="BE239" s="1656"/>
      <c r="BF239" s="1656"/>
      <c r="BG239" s="1656"/>
      <c r="BH239" s="1656"/>
      <c r="BI239" s="1656"/>
      <c r="BJ239" s="1656"/>
      <c r="BK239" s="1656"/>
      <c r="BL239" s="1656"/>
      <c r="BM239" s="1656"/>
      <c r="BN239" s="1656"/>
      <c r="BO239" s="1656"/>
      <c r="BP239" s="1656"/>
      <c r="BQ239" s="1656"/>
      <c r="BR239" s="1656"/>
      <c r="BS239" s="1656"/>
      <c r="BT239" s="1656"/>
      <c r="BU239" s="1656"/>
      <c r="BV239" s="1656"/>
      <c r="BW239" s="1656"/>
      <c r="BX239" s="1656"/>
      <c r="BY239" s="1656"/>
      <c r="BZ239" s="1656"/>
      <c r="CA239" s="1656"/>
      <c r="CB239" s="1656"/>
      <c r="CC239" s="1656"/>
      <c r="CD239" s="1656"/>
      <c r="CE239" s="1656"/>
      <c r="CF239" s="1656"/>
      <c r="CG239" s="1656"/>
      <c r="CH239" s="1656"/>
      <c r="CI239" s="1656"/>
      <c r="CJ239" s="1656"/>
      <c r="CK239" s="1656"/>
      <c r="CL239" s="1656"/>
      <c r="CM239" s="1656"/>
      <c r="CN239" s="1656"/>
      <c r="CO239" s="1656"/>
      <c r="CP239" s="1656"/>
      <c r="CQ239" s="1656"/>
      <c r="CR239" s="1656"/>
      <c r="CS239" s="1656"/>
      <c r="CT239" s="1656"/>
      <c r="CU239" s="1656"/>
      <c r="CV239" s="1656"/>
      <c r="CW239" s="1656"/>
      <c r="CX239" s="1656"/>
      <c r="CY239" s="1656"/>
      <c r="CZ239" s="1656"/>
      <c r="DA239" s="1656"/>
      <c r="DB239" s="1656"/>
      <c r="DC239" s="1656"/>
      <c r="DD239" s="1656"/>
      <c r="DE239" s="1656"/>
      <c r="DF239" s="1656"/>
      <c r="DG239" s="1656"/>
      <c r="DH239" s="1656"/>
      <c r="DI239" s="1656"/>
      <c r="DJ239" s="1656"/>
      <c r="DK239" s="1656"/>
      <c r="DL239" s="1656"/>
      <c r="DM239" s="1656"/>
      <c r="DN239" s="1656"/>
      <c r="DO239" s="1656"/>
      <c r="DP239" s="1656"/>
      <c r="DQ239" s="1656"/>
      <c r="DR239" s="1656"/>
      <c r="DS239" s="1656"/>
      <c r="DT239" s="1656"/>
      <c r="DU239" s="1656"/>
      <c r="DV239" s="1656"/>
      <c r="DW239" s="1656"/>
      <c r="DX239" s="1656"/>
      <c r="DY239" s="1656"/>
      <c r="DZ239" s="1656"/>
      <c r="EA239" s="1656"/>
      <c r="EB239" s="1656"/>
      <c r="EC239" s="1656"/>
      <c r="ED239" s="1656"/>
      <c r="EE239" s="1656"/>
      <c r="EF239" s="1656"/>
      <c r="EG239" s="1656"/>
      <c r="EH239" s="1656"/>
      <c r="EI239" s="1656"/>
      <c r="EJ239" s="1656"/>
      <c r="EK239" s="1656"/>
      <c r="EL239" s="1656"/>
      <c r="EM239" s="1656"/>
      <c r="EN239" s="1656"/>
      <c r="EO239" s="1656"/>
      <c r="EP239" s="1656"/>
      <c r="EQ239" s="1656"/>
      <c r="ER239" s="1656"/>
      <c r="ES239" s="1656"/>
      <c r="ET239" s="1656"/>
      <c r="EU239" s="1656"/>
      <c r="EV239" s="1656"/>
      <c r="EW239" s="1656"/>
      <c r="EX239" s="1656"/>
      <c r="EY239" s="1656"/>
      <c r="EZ239" s="1656"/>
      <c r="FA239" s="1656"/>
      <c r="FB239" s="1656"/>
      <c r="FC239" s="1656"/>
      <c r="FD239" s="1656"/>
      <c r="FE239" s="1656"/>
      <c r="FF239" s="1656"/>
    </row>
    <row r="241" spans="6:162" s="1658" customFormat="1" ht="15.75" customHeight="1">
      <c r="F241" s="1656"/>
      <c r="G241" s="1656"/>
      <c r="H241" s="1656"/>
      <c r="I241" s="1656"/>
      <c r="J241" s="1656"/>
      <c r="K241" s="1656"/>
      <c r="L241" s="1656"/>
      <c r="M241" s="1656"/>
      <c r="N241" s="1656"/>
      <c r="O241" s="1656"/>
      <c r="P241" s="1656"/>
      <c r="Q241" s="1656"/>
      <c r="R241" s="1656"/>
      <c r="S241" s="1656"/>
      <c r="T241" s="1656"/>
      <c r="U241" s="1656"/>
      <c r="V241" s="1656"/>
      <c r="W241" s="1656"/>
      <c r="X241" s="1656"/>
      <c r="Y241" s="1656"/>
      <c r="AA241" s="1656"/>
      <c r="AC241" s="1656"/>
      <c r="AD241" s="1656"/>
      <c r="AE241" s="1656"/>
      <c r="AF241" s="1656"/>
      <c r="AG241" s="1656"/>
      <c r="AH241" s="1657"/>
      <c r="AI241" s="1657"/>
      <c r="AJ241" s="1656"/>
      <c r="AK241" s="1656"/>
      <c r="AL241" s="1656"/>
      <c r="AM241" s="1656"/>
      <c r="AN241" s="1656"/>
      <c r="AO241" s="1656"/>
      <c r="AP241" s="1656"/>
      <c r="AQ241" s="1656"/>
      <c r="AR241" s="1656"/>
      <c r="AS241" s="1656"/>
      <c r="AT241" s="1656"/>
      <c r="AU241" s="1656"/>
      <c r="AV241" s="1656"/>
      <c r="AW241" s="1656"/>
      <c r="AX241" s="1656"/>
      <c r="AY241" s="1656"/>
      <c r="AZ241" s="1656"/>
      <c r="BA241" s="1656"/>
      <c r="BB241" s="1656"/>
      <c r="BC241" s="1656"/>
      <c r="BD241" s="1656"/>
      <c r="BE241" s="1656"/>
      <c r="BF241" s="1656"/>
      <c r="BG241" s="1656"/>
      <c r="BH241" s="1656"/>
      <c r="BI241" s="1656"/>
      <c r="BJ241" s="1656"/>
      <c r="BK241" s="1656"/>
      <c r="BL241" s="1656"/>
      <c r="BM241" s="1656"/>
      <c r="BN241" s="1656"/>
      <c r="BO241" s="1656"/>
      <c r="BP241" s="1656"/>
      <c r="BQ241" s="1656"/>
      <c r="BR241" s="1656"/>
      <c r="BS241" s="1656"/>
      <c r="BT241" s="1656"/>
      <c r="BU241" s="1656"/>
      <c r="BV241" s="1656"/>
      <c r="BW241" s="1656"/>
      <c r="BX241" s="1656"/>
      <c r="BY241" s="1656"/>
      <c r="BZ241" s="1656"/>
      <c r="CA241" s="1656"/>
      <c r="CB241" s="1656"/>
      <c r="CC241" s="1656"/>
      <c r="CD241" s="1656"/>
      <c r="CE241" s="1656"/>
      <c r="CF241" s="1656"/>
      <c r="CG241" s="1656"/>
      <c r="CH241" s="1656"/>
      <c r="CI241" s="1656"/>
      <c r="CJ241" s="1656"/>
      <c r="CK241" s="1656"/>
      <c r="CL241" s="1656"/>
      <c r="CM241" s="1656"/>
      <c r="CN241" s="1656"/>
      <c r="CO241" s="1656"/>
      <c r="CP241" s="1656"/>
      <c r="CQ241" s="1656"/>
      <c r="CR241" s="1656"/>
      <c r="CS241" s="1656"/>
      <c r="CT241" s="1656"/>
      <c r="CU241" s="1656"/>
      <c r="CV241" s="1656"/>
      <c r="CW241" s="1656"/>
      <c r="CX241" s="1656"/>
      <c r="CY241" s="1656"/>
      <c r="CZ241" s="1656"/>
      <c r="DA241" s="1656"/>
      <c r="DB241" s="1656"/>
      <c r="DC241" s="1656"/>
      <c r="DD241" s="1656"/>
      <c r="DE241" s="1656"/>
      <c r="DF241" s="1656"/>
      <c r="DG241" s="1656"/>
      <c r="DH241" s="1656"/>
      <c r="DI241" s="1656"/>
      <c r="DJ241" s="1656"/>
      <c r="DK241" s="1656"/>
      <c r="DL241" s="1656"/>
      <c r="DM241" s="1656"/>
      <c r="DN241" s="1656"/>
      <c r="DO241" s="1656"/>
      <c r="DP241" s="1656"/>
      <c r="DQ241" s="1656"/>
      <c r="DR241" s="1656"/>
      <c r="DS241" s="1656"/>
      <c r="DT241" s="1656"/>
      <c r="DU241" s="1656"/>
      <c r="DV241" s="1656"/>
      <c r="DW241" s="1656"/>
      <c r="DX241" s="1656"/>
      <c r="DY241" s="1656"/>
      <c r="DZ241" s="1656"/>
      <c r="EA241" s="1656"/>
      <c r="EB241" s="1656"/>
      <c r="EC241" s="1656"/>
      <c r="ED241" s="1656"/>
      <c r="EE241" s="1656"/>
      <c r="EF241" s="1656"/>
      <c r="EG241" s="1656"/>
      <c r="EH241" s="1656"/>
      <c r="EI241" s="1656"/>
      <c r="EJ241" s="1656"/>
      <c r="EK241" s="1656"/>
      <c r="EL241" s="1656"/>
      <c r="EM241" s="1656"/>
      <c r="EN241" s="1656"/>
      <c r="EO241" s="1656"/>
      <c r="EP241" s="1656"/>
      <c r="EQ241" s="1656"/>
      <c r="ER241" s="1656"/>
      <c r="ES241" s="1656"/>
      <c r="ET241" s="1656"/>
      <c r="EU241" s="1656"/>
      <c r="EV241" s="1656"/>
      <c r="EW241" s="1656"/>
      <c r="EX241" s="1656"/>
      <c r="EY241" s="1656"/>
      <c r="EZ241" s="1656"/>
      <c r="FA241" s="1656"/>
      <c r="FB241" s="1656"/>
      <c r="FC241" s="1656"/>
      <c r="FD241" s="1656"/>
      <c r="FE241" s="1656"/>
      <c r="FF241" s="1656"/>
    </row>
    <row r="243" spans="6:162" s="1658" customFormat="1" ht="15.75" customHeight="1">
      <c r="F243" s="1656"/>
      <c r="G243" s="1656"/>
      <c r="H243" s="1656"/>
      <c r="I243" s="1656"/>
      <c r="J243" s="1656"/>
      <c r="K243" s="1656"/>
      <c r="L243" s="1656"/>
      <c r="M243" s="1656"/>
      <c r="N243" s="1656"/>
      <c r="O243" s="1656"/>
      <c r="P243" s="1656"/>
      <c r="Q243" s="1656"/>
      <c r="R243" s="1656"/>
      <c r="S243" s="1656"/>
      <c r="T243" s="1656"/>
      <c r="U243" s="1656"/>
      <c r="V243" s="1656"/>
      <c r="W243" s="1656"/>
      <c r="X243" s="1656"/>
      <c r="Y243" s="1656"/>
      <c r="AA243" s="1656"/>
      <c r="AC243" s="1656"/>
      <c r="AD243" s="1656"/>
      <c r="AE243" s="1656"/>
      <c r="AF243" s="1656"/>
      <c r="AG243" s="1656"/>
      <c r="AH243" s="1657"/>
      <c r="AI243" s="1657"/>
      <c r="AJ243" s="1656"/>
      <c r="AK243" s="1656"/>
      <c r="AL243" s="1656"/>
      <c r="AM243" s="1656"/>
      <c r="AN243" s="1656"/>
      <c r="AO243" s="1656"/>
      <c r="AP243" s="1656"/>
      <c r="AQ243" s="1656"/>
      <c r="AR243" s="1656"/>
      <c r="AS243" s="1656"/>
      <c r="AT243" s="1656"/>
      <c r="AU243" s="1656"/>
      <c r="AV243" s="1656"/>
      <c r="AW243" s="1656"/>
      <c r="AX243" s="1656"/>
      <c r="AY243" s="1656"/>
      <c r="AZ243" s="1656"/>
      <c r="BA243" s="1656"/>
      <c r="BB243" s="1656"/>
      <c r="BC243" s="1656"/>
      <c r="BD243" s="1656"/>
      <c r="BE243" s="1656"/>
      <c r="BF243" s="1656"/>
      <c r="BG243" s="1656"/>
      <c r="BH243" s="1656"/>
      <c r="BI243" s="1656"/>
      <c r="BJ243" s="1656"/>
      <c r="BK243" s="1656"/>
      <c r="BL243" s="1656"/>
      <c r="BM243" s="1656"/>
      <c r="BN243" s="1656"/>
      <c r="BO243" s="1656"/>
      <c r="BP243" s="1656"/>
      <c r="BQ243" s="1656"/>
      <c r="BR243" s="1656"/>
      <c r="BS243" s="1656"/>
      <c r="BT243" s="1656"/>
      <c r="BU243" s="1656"/>
      <c r="BV243" s="1656"/>
      <c r="BW243" s="1656"/>
      <c r="BX243" s="1656"/>
      <c r="BY243" s="1656"/>
      <c r="BZ243" s="1656"/>
      <c r="CA243" s="1656"/>
      <c r="CB243" s="1656"/>
      <c r="CC243" s="1656"/>
      <c r="CD243" s="1656"/>
      <c r="CE243" s="1656"/>
      <c r="CF243" s="1656"/>
      <c r="CG243" s="1656"/>
      <c r="CH243" s="1656"/>
      <c r="CI243" s="1656"/>
      <c r="CJ243" s="1656"/>
      <c r="CK243" s="1656"/>
      <c r="CL243" s="1656"/>
      <c r="CM243" s="1656"/>
      <c r="CN243" s="1656"/>
      <c r="CO243" s="1656"/>
      <c r="CP243" s="1656"/>
      <c r="CQ243" s="1656"/>
      <c r="CR243" s="1656"/>
      <c r="CS243" s="1656"/>
      <c r="CT243" s="1656"/>
      <c r="CU243" s="1656"/>
      <c r="CV243" s="1656"/>
      <c r="CW243" s="1656"/>
      <c r="CX243" s="1656"/>
      <c r="CY243" s="1656"/>
      <c r="CZ243" s="1656"/>
      <c r="DA243" s="1656"/>
      <c r="DB243" s="1656"/>
      <c r="DC243" s="1656"/>
      <c r="DD243" s="1656"/>
      <c r="DE243" s="1656"/>
      <c r="DF243" s="1656"/>
      <c r="DG243" s="1656"/>
      <c r="DH243" s="1656"/>
      <c r="DI243" s="1656"/>
      <c r="DJ243" s="1656"/>
      <c r="DK243" s="1656"/>
      <c r="DL243" s="1656"/>
      <c r="DM243" s="1656"/>
      <c r="DN243" s="1656"/>
      <c r="DO243" s="1656"/>
      <c r="DP243" s="1656"/>
      <c r="DQ243" s="1656"/>
      <c r="DR243" s="1656"/>
      <c r="DS243" s="1656"/>
      <c r="DT243" s="1656"/>
      <c r="DU243" s="1656"/>
      <c r="DV243" s="1656"/>
      <c r="DW243" s="1656"/>
      <c r="DX243" s="1656"/>
      <c r="DY243" s="1656"/>
      <c r="DZ243" s="1656"/>
      <c r="EA243" s="1656"/>
      <c r="EB243" s="1656"/>
      <c r="EC243" s="1656"/>
      <c r="ED243" s="1656"/>
      <c r="EE243" s="1656"/>
      <c r="EF243" s="1656"/>
      <c r="EG243" s="1656"/>
      <c r="EH243" s="1656"/>
      <c r="EI243" s="1656"/>
      <c r="EJ243" s="1656"/>
      <c r="EK243" s="1656"/>
      <c r="EL243" s="1656"/>
      <c r="EM243" s="1656"/>
      <c r="EN243" s="1656"/>
      <c r="EO243" s="1656"/>
      <c r="EP243" s="1656"/>
      <c r="EQ243" s="1656"/>
      <c r="ER243" s="1656"/>
      <c r="ES243" s="1656"/>
      <c r="ET243" s="1656"/>
      <c r="EU243" s="1656"/>
      <c r="EV243" s="1656"/>
      <c r="EW243" s="1656"/>
      <c r="EX243" s="1656"/>
      <c r="EY243" s="1656"/>
      <c r="EZ243" s="1656"/>
      <c r="FA243" s="1656"/>
      <c r="FB243" s="1656"/>
      <c r="FC243" s="1656"/>
      <c r="FD243" s="1656"/>
      <c r="FE243" s="1656"/>
      <c r="FF243" s="1656"/>
    </row>
    <row r="245" spans="6:162" s="1658" customFormat="1" ht="15.75" customHeight="1">
      <c r="F245" s="1656"/>
      <c r="G245" s="1656"/>
      <c r="H245" s="1656"/>
      <c r="I245" s="1656"/>
      <c r="J245" s="1656"/>
      <c r="K245" s="1656"/>
      <c r="L245" s="1656"/>
      <c r="M245" s="1656"/>
      <c r="N245" s="1656"/>
      <c r="O245" s="1656"/>
      <c r="P245" s="1656"/>
      <c r="Q245" s="1656"/>
      <c r="R245" s="1656"/>
      <c r="S245" s="1656"/>
      <c r="T245" s="1656"/>
      <c r="U245" s="1656"/>
      <c r="V245" s="1656"/>
      <c r="W245" s="1656"/>
      <c r="X245" s="1656"/>
      <c r="Y245" s="1656"/>
      <c r="AA245" s="1656"/>
      <c r="AC245" s="1656"/>
      <c r="AD245" s="1656"/>
      <c r="AE245" s="1656"/>
      <c r="AF245" s="1656"/>
      <c r="AG245" s="1656"/>
      <c r="AH245" s="1657"/>
      <c r="AI245" s="1657"/>
      <c r="AJ245" s="1656"/>
      <c r="AK245" s="1656"/>
      <c r="AL245" s="1656"/>
      <c r="AM245" s="1656"/>
      <c r="AN245" s="1656"/>
      <c r="AO245" s="1656"/>
      <c r="AP245" s="1656"/>
      <c r="AQ245" s="1656"/>
      <c r="AR245" s="1656"/>
      <c r="AS245" s="1656"/>
      <c r="AT245" s="1656"/>
      <c r="AU245" s="1656"/>
      <c r="AV245" s="1656"/>
      <c r="AW245" s="1656"/>
      <c r="AX245" s="1656"/>
      <c r="AY245" s="1656"/>
      <c r="AZ245" s="1656"/>
      <c r="BA245" s="1656"/>
      <c r="BB245" s="1656"/>
      <c r="BC245" s="1656"/>
      <c r="BD245" s="1656"/>
      <c r="BE245" s="1656"/>
      <c r="BF245" s="1656"/>
      <c r="BG245" s="1656"/>
      <c r="BH245" s="1656"/>
      <c r="BI245" s="1656"/>
      <c r="BJ245" s="1656"/>
      <c r="BK245" s="1656"/>
      <c r="BL245" s="1656"/>
      <c r="BM245" s="1656"/>
      <c r="BN245" s="1656"/>
      <c r="BO245" s="1656"/>
      <c r="BP245" s="1656"/>
      <c r="BQ245" s="1656"/>
      <c r="BR245" s="1656"/>
      <c r="BS245" s="1656"/>
      <c r="BT245" s="1656"/>
      <c r="BU245" s="1656"/>
      <c r="BV245" s="1656"/>
      <c r="BW245" s="1656"/>
      <c r="BX245" s="1656"/>
      <c r="BY245" s="1656"/>
      <c r="BZ245" s="1656"/>
      <c r="CA245" s="1656"/>
      <c r="CB245" s="1656"/>
      <c r="CC245" s="1656"/>
      <c r="CD245" s="1656"/>
      <c r="CE245" s="1656"/>
      <c r="CF245" s="1656"/>
      <c r="CG245" s="1656"/>
      <c r="CH245" s="1656"/>
      <c r="CI245" s="1656"/>
      <c r="CJ245" s="1656"/>
      <c r="CK245" s="1656"/>
      <c r="CL245" s="1656"/>
      <c r="CM245" s="1656"/>
      <c r="CN245" s="1656"/>
      <c r="CO245" s="1656"/>
      <c r="CP245" s="1656"/>
      <c r="CQ245" s="1656"/>
      <c r="CR245" s="1656"/>
      <c r="CS245" s="1656"/>
      <c r="CT245" s="1656"/>
      <c r="CU245" s="1656"/>
      <c r="CV245" s="1656"/>
      <c r="CW245" s="1656"/>
      <c r="CX245" s="1656"/>
      <c r="CY245" s="1656"/>
      <c r="CZ245" s="1656"/>
      <c r="DA245" s="1656"/>
      <c r="DB245" s="1656"/>
      <c r="DC245" s="1656"/>
      <c r="DD245" s="1656"/>
      <c r="DE245" s="1656"/>
      <c r="DF245" s="1656"/>
      <c r="DG245" s="1656"/>
      <c r="DH245" s="1656"/>
      <c r="DI245" s="1656"/>
      <c r="DJ245" s="1656"/>
      <c r="DK245" s="1656"/>
      <c r="DL245" s="1656"/>
      <c r="DM245" s="1656"/>
      <c r="DN245" s="1656"/>
      <c r="DO245" s="1656"/>
      <c r="DP245" s="1656"/>
      <c r="DQ245" s="1656"/>
      <c r="DR245" s="1656"/>
      <c r="DS245" s="1656"/>
      <c r="DT245" s="1656"/>
      <c r="DU245" s="1656"/>
      <c r="DV245" s="1656"/>
      <c r="DW245" s="1656"/>
      <c r="DX245" s="1656"/>
      <c r="DY245" s="1656"/>
      <c r="DZ245" s="1656"/>
      <c r="EA245" s="1656"/>
      <c r="EB245" s="1656"/>
      <c r="EC245" s="1656"/>
      <c r="ED245" s="1656"/>
      <c r="EE245" s="1656"/>
      <c r="EF245" s="1656"/>
      <c r="EG245" s="1656"/>
      <c r="EH245" s="1656"/>
      <c r="EI245" s="1656"/>
      <c r="EJ245" s="1656"/>
      <c r="EK245" s="1656"/>
      <c r="EL245" s="1656"/>
      <c r="EM245" s="1656"/>
      <c r="EN245" s="1656"/>
      <c r="EO245" s="1656"/>
      <c r="EP245" s="1656"/>
      <c r="EQ245" s="1656"/>
      <c r="ER245" s="1656"/>
      <c r="ES245" s="1656"/>
      <c r="ET245" s="1656"/>
      <c r="EU245" s="1656"/>
      <c r="EV245" s="1656"/>
      <c r="EW245" s="1656"/>
      <c r="EX245" s="1656"/>
      <c r="EY245" s="1656"/>
      <c r="EZ245" s="1656"/>
      <c r="FA245" s="1656"/>
      <c r="FB245" s="1656"/>
      <c r="FC245" s="1656"/>
      <c r="FD245" s="1656"/>
      <c r="FE245" s="1656"/>
      <c r="FF245" s="1656"/>
    </row>
    <row r="247" spans="6:162" s="1658" customFormat="1" ht="15.75" customHeight="1">
      <c r="F247" s="1656"/>
      <c r="G247" s="1656"/>
      <c r="H247" s="1656"/>
      <c r="I247" s="1656"/>
      <c r="J247" s="1656"/>
      <c r="K247" s="1656"/>
      <c r="L247" s="1656"/>
      <c r="M247" s="1656"/>
      <c r="N247" s="1656"/>
      <c r="O247" s="1656"/>
      <c r="P247" s="1656"/>
      <c r="Q247" s="1656"/>
      <c r="R247" s="1656"/>
      <c r="S247" s="1656"/>
      <c r="T247" s="1656"/>
      <c r="U247" s="1656"/>
      <c r="V247" s="1656"/>
      <c r="W247" s="1656"/>
      <c r="X247" s="1656"/>
      <c r="Y247" s="1656"/>
      <c r="AA247" s="1656"/>
      <c r="AC247" s="1656"/>
      <c r="AD247" s="1656"/>
      <c r="AE247" s="1656"/>
      <c r="AF247" s="1656"/>
      <c r="AG247" s="1656"/>
      <c r="AH247" s="1657"/>
      <c r="AI247" s="1657"/>
      <c r="AJ247" s="1656"/>
      <c r="AK247" s="1656"/>
      <c r="AL247" s="1656"/>
      <c r="AM247" s="1656"/>
      <c r="AN247" s="1656"/>
      <c r="AO247" s="1656"/>
      <c r="AP247" s="1656"/>
      <c r="AQ247" s="1656"/>
      <c r="AR247" s="1656"/>
      <c r="AS247" s="1656"/>
      <c r="AT247" s="1656"/>
      <c r="AU247" s="1656"/>
      <c r="AV247" s="1656"/>
      <c r="AW247" s="1656"/>
      <c r="AX247" s="1656"/>
      <c r="AY247" s="1656"/>
      <c r="AZ247" s="1656"/>
      <c r="BA247" s="1656"/>
      <c r="BB247" s="1656"/>
      <c r="BC247" s="1656"/>
      <c r="BD247" s="1656"/>
      <c r="BE247" s="1656"/>
      <c r="BF247" s="1656"/>
      <c r="BG247" s="1656"/>
      <c r="BH247" s="1656"/>
      <c r="BI247" s="1656"/>
      <c r="BJ247" s="1656"/>
      <c r="BK247" s="1656"/>
      <c r="BL247" s="1656"/>
      <c r="BM247" s="1656"/>
      <c r="BN247" s="1656"/>
      <c r="BO247" s="1656"/>
      <c r="BP247" s="1656"/>
      <c r="BQ247" s="1656"/>
      <c r="BR247" s="1656"/>
      <c r="BS247" s="1656"/>
      <c r="BT247" s="1656"/>
      <c r="BU247" s="1656"/>
      <c r="BV247" s="1656"/>
      <c r="BW247" s="1656"/>
      <c r="BX247" s="1656"/>
      <c r="BY247" s="1656"/>
      <c r="BZ247" s="1656"/>
      <c r="CA247" s="1656"/>
      <c r="CB247" s="1656"/>
      <c r="CC247" s="1656"/>
      <c r="CD247" s="1656"/>
      <c r="CE247" s="1656"/>
      <c r="CF247" s="1656"/>
      <c r="CG247" s="1656"/>
      <c r="CH247" s="1656"/>
      <c r="CI247" s="1656"/>
      <c r="CJ247" s="1656"/>
      <c r="CK247" s="1656"/>
      <c r="CL247" s="1656"/>
      <c r="CM247" s="1656"/>
      <c r="CN247" s="1656"/>
      <c r="CO247" s="1656"/>
      <c r="CP247" s="1656"/>
      <c r="CQ247" s="1656"/>
      <c r="CR247" s="1656"/>
      <c r="CS247" s="1656"/>
      <c r="CT247" s="1656"/>
      <c r="CU247" s="1656"/>
      <c r="CV247" s="1656"/>
      <c r="CW247" s="1656"/>
      <c r="CX247" s="1656"/>
      <c r="CY247" s="1656"/>
      <c r="CZ247" s="1656"/>
      <c r="DA247" s="1656"/>
      <c r="DB247" s="1656"/>
      <c r="DC247" s="1656"/>
      <c r="DD247" s="1656"/>
      <c r="DE247" s="1656"/>
      <c r="DF247" s="1656"/>
      <c r="DG247" s="1656"/>
      <c r="DH247" s="1656"/>
      <c r="DI247" s="1656"/>
      <c r="DJ247" s="1656"/>
      <c r="DK247" s="1656"/>
      <c r="DL247" s="1656"/>
      <c r="DM247" s="1656"/>
      <c r="DN247" s="1656"/>
      <c r="DO247" s="1656"/>
      <c r="DP247" s="1656"/>
      <c r="DQ247" s="1656"/>
      <c r="DR247" s="1656"/>
      <c r="DS247" s="1656"/>
      <c r="DT247" s="1656"/>
      <c r="DU247" s="1656"/>
      <c r="DV247" s="1656"/>
      <c r="DW247" s="1656"/>
      <c r="DX247" s="1656"/>
      <c r="DY247" s="1656"/>
      <c r="DZ247" s="1656"/>
      <c r="EA247" s="1656"/>
      <c r="EB247" s="1656"/>
      <c r="EC247" s="1656"/>
      <c r="ED247" s="1656"/>
      <c r="EE247" s="1656"/>
      <c r="EF247" s="1656"/>
      <c r="EG247" s="1656"/>
      <c r="EH247" s="1656"/>
      <c r="EI247" s="1656"/>
      <c r="EJ247" s="1656"/>
      <c r="EK247" s="1656"/>
      <c r="EL247" s="1656"/>
      <c r="EM247" s="1656"/>
      <c r="EN247" s="1656"/>
      <c r="EO247" s="1656"/>
      <c r="EP247" s="1656"/>
      <c r="EQ247" s="1656"/>
      <c r="ER247" s="1656"/>
      <c r="ES247" s="1656"/>
      <c r="ET247" s="1656"/>
      <c r="EU247" s="1656"/>
      <c r="EV247" s="1656"/>
      <c r="EW247" s="1656"/>
      <c r="EX247" s="1656"/>
      <c r="EY247" s="1656"/>
      <c r="EZ247" s="1656"/>
      <c r="FA247" s="1656"/>
      <c r="FB247" s="1656"/>
      <c r="FC247" s="1656"/>
      <c r="FD247" s="1656"/>
      <c r="FE247" s="1656"/>
      <c r="FF247" s="1656"/>
    </row>
    <row r="249" spans="6:162" s="1658" customFormat="1" ht="15.75" customHeight="1">
      <c r="F249" s="1656"/>
      <c r="G249" s="1656"/>
      <c r="H249" s="1656"/>
      <c r="I249" s="1656"/>
      <c r="J249" s="1656"/>
      <c r="K249" s="1656"/>
      <c r="L249" s="1656"/>
      <c r="M249" s="1656"/>
      <c r="N249" s="1656"/>
      <c r="O249" s="1656"/>
      <c r="P249" s="1656"/>
      <c r="Q249" s="1656"/>
      <c r="R249" s="1656"/>
      <c r="S249" s="1656"/>
      <c r="T249" s="1656"/>
      <c r="U249" s="1656"/>
      <c r="V249" s="1656"/>
      <c r="W249" s="1656"/>
      <c r="X249" s="1656"/>
      <c r="Y249" s="1656"/>
      <c r="AA249" s="1656"/>
      <c r="AC249" s="1656"/>
      <c r="AD249" s="1656"/>
      <c r="AE249" s="1656"/>
      <c r="AF249" s="1656"/>
      <c r="AG249" s="1656"/>
      <c r="AH249" s="1657"/>
      <c r="AI249" s="1657"/>
      <c r="AJ249" s="1656"/>
      <c r="AK249" s="1656"/>
      <c r="AL249" s="1656"/>
      <c r="AM249" s="1656"/>
      <c r="AN249" s="1656"/>
      <c r="AO249" s="1656"/>
      <c r="AP249" s="1656"/>
      <c r="AQ249" s="1656"/>
      <c r="AR249" s="1656"/>
      <c r="AS249" s="1656"/>
      <c r="AT249" s="1656"/>
      <c r="AU249" s="1656"/>
      <c r="AV249" s="1656"/>
      <c r="AW249" s="1656"/>
      <c r="AX249" s="1656"/>
      <c r="AY249" s="1656"/>
      <c r="AZ249" s="1656"/>
      <c r="BA249" s="1656"/>
      <c r="BB249" s="1656"/>
      <c r="BC249" s="1656"/>
      <c r="BD249" s="1656"/>
      <c r="BE249" s="1656"/>
      <c r="BF249" s="1656"/>
      <c r="BG249" s="1656"/>
      <c r="BH249" s="1656"/>
      <c r="BI249" s="1656"/>
      <c r="BJ249" s="1656"/>
      <c r="BK249" s="1656"/>
      <c r="BL249" s="1656"/>
      <c r="BM249" s="1656"/>
      <c r="BN249" s="1656"/>
      <c r="BO249" s="1656"/>
      <c r="BP249" s="1656"/>
      <c r="BQ249" s="1656"/>
      <c r="BR249" s="1656"/>
      <c r="BS249" s="1656"/>
      <c r="BT249" s="1656"/>
      <c r="BU249" s="1656"/>
      <c r="BV249" s="1656"/>
      <c r="BW249" s="1656"/>
      <c r="BX249" s="1656"/>
      <c r="BY249" s="1656"/>
      <c r="BZ249" s="1656"/>
      <c r="CA249" s="1656"/>
      <c r="CB249" s="1656"/>
      <c r="CC249" s="1656"/>
      <c r="CD249" s="1656"/>
      <c r="CE249" s="1656"/>
      <c r="CF249" s="1656"/>
      <c r="CG249" s="1656"/>
      <c r="CH249" s="1656"/>
      <c r="CI249" s="1656"/>
      <c r="CJ249" s="1656"/>
      <c r="CK249" s="1656"/>
      <c r="CL249" s="1656"/>
      <c r="CM249" s="1656"/>
      <c r="CN249" s="1656"/>
      <c r="CO249" s="1656"/>
      <c r="CP249" s="1656"/>
      <c r="CQ249" s="1656"/>
      <c r="CR249" s="1656"/>
      <c r="CS249" s="1656"/>
      <c r="CT249" s="1656"/>
      <c r="CU249" s="1656"/>
      <c r="CV249" s="1656"/>
      <c r="CW249" s="1656"/>
      <c r="CX249" s="1656"/>
      <c r="CY249" s="1656"/>
      <c r="CZ249" s="1656"/>
      <c r="DA249" s="1656"/>
      <c r="DB249" s="1656"/>
      <c r="DC249" s="1656"/>
      <c r="DD249" s="1656"/>
      <c r="DE249" s="1656"/>
      <c r="DF249" s="1656"/>
      <c r="DG249" s="1656"/>
      <c r="DH249" s="1656"/>
      <c r="DI249" s="1656"/>
      <c r="DJ249" s="1656"/>
      <c r="DK249" s="1656"/>
      <c r="DL249" s="1656"/>
      <c r="DM249" s="1656"/>
      <c r="DN249" s="1656"/>
      <c r="DO249" s="1656"/>
      <c r="DP249" s="1656"/>
      <c r="DQ249" s="1656"/>
      <c r="DR249" s="1656"/>
      <c r="DS249" s="1656"/>
      <c r="DT249" s="1656"/>
      <c r="DU249" s="1656"/>
      <c r="DV249" s="1656"/>
      <c r="DW249" s="1656"/>
      <c r="DX249" s="1656"/>
      <c r="DY249" s="1656"/>
      <c r="DZ249" s="1656"/>
      <c r="EA249" s="1656"/>
      <c r="EB249" s="1656"/>
      <c r="EC249" s="1656"/>
      <c r="ED249" s="1656"/>
      <c r="EE249" s="1656"/>
      <c r="EF249" s="1656"/>
      <c r="EG249" s="1656"/>
      <c r="EH249" s="1656"/>
      <c r="EI249" s="1656"/>
      <c r="EJ249" s="1656"/>
      <c r="EK249" s="1656"/>
      <c r="EL249" s="1656"/>
      <c r="EM249" s="1656"/>
      <c r="EN249" s="1656"/>
      <c r="EO249" s="1656"/>
      <c r="EP249" s="1656"/>
      <c r="EQ249" s="1656"/>
      <c r="ER249" s="1656"/>
      <c r="ES249" s="1656"/>
      <c r="ET249" s="1656"/>
      <c r="EU249" s="1656"/>
      <c r="EV249" s="1656"/>
      <c r="EW249" s="1656"/>
      <c r="EX249" s="1656"/>
      <c r="EY249" s="1656"/>
      <c r="EZ249" s="1656"/>
      <c r="FA249" s="1656"/>
      <c r="FB249" s="1656"/>
      <c r="FC249" s="1656"/>
      <c r="FD249" s="1656"/>
      <c r="FE249" s="1656"/>
      <c r="FF249" s="1656"/>
    </row>
    <row r="251" spans="6:162" s="1658" customFormat="1" ht="15.75" customHeight="1">
      <c r="F251" s="1656"/>
      <c r="G251" s="1656"/>
      <c r="H251" s="1656"/>
      <c r="I251" s="1656"/>
      <c r="J251" s="1656"/>
      <c r="K251" s="1656"/>
      <c r="L251" s="1656"/>
      <c r="M251" s="1656"/>
      <c r="N251" s="1656"/>
      <c r="O251" s="1656"/>
      <c r="P251" s="1656"/>
      <c r="Q251" s="1656"/>
      <c r="R251" s="1656"/>
      <c r="S251" s="1656"/>
      <c r="T251" s="1656"/>
      <c r="U251" s="1656"/>
      <c r="V251" s="1656"/>
      <c r="W251" s="1656"/>
      <c r="X251" s="1656"/>
      <c r="Y251" s="1656"/>
      <c r="AA251" s="1656"/>
      <c r="AC251" s="1656"/>
      <c r="AD251" s="1656"/>
      <c r="AE251" s="1656"/>
      <c r="AF251" s="1656"/>
      <c r="AG251" s="1656"/>
      <c r="AH251" s="1657"/>
      <c r="AI251" s="1657"/>
      <c r="AJ251" s="1656"/>
      <c r="AK251" s="1656"/>
      <c r="AL251" s="1656"/>
      <c r="AM251" s="1656"/>
      <c r="AN251" s="1656"/>
      <c r="AO251" s="1656"/>
      <c r="AP251" s="1656"/>
      <c r="AQ251" s="1656"/>
      <c r="AR251" s="1656"/>
      <c r="AS251" s="1656"/>
      <c r="AT251" s="1656"/>
      <c r="AU251" s="1656"/>
      <c r="AV251" s="1656"/>
      <c r="AW251" s="1656"/>
      <c r="AX251" s="1656"/>
      <c r="AY251" s="1656"/>
      <c r="AZ251" s="1656"/>
      <c r="BA251" s="1656"/>
      <c r="BB251" s="1656"/>
      <c r="BC251" s="1656"/>
      <c r="BD251" s="1656"/>
      <c r="BE251" s="1656"/>
      <c r="BF251" s="1656"/>
      <c r="BG251" s="1656"/>
      <c r="BH251" s="1656"/>
      <c r="BI251" s="1656"/>
      <c r="BJ251" s="1656"/>
      <c r="BK251" s="1656"/>
      <c r="BL251" s="1656"/>
      <c r="BM251" s="1656"/>
      <c r="BN251" s="1656"/>
      <c r="BO251" s="1656"/>
      <c r="BP251" s="1656"/>
      <c r="BQ251" s="1656"/>
      <c r="BR251" s="1656"/>
      <c r="BS251" s="1656"/>
      <c r="BT251" s="1656"/>
      <c r="BU251" s="1656"/>
      <c r="BV251" s="1656"/>
      <c r="BW251" s="1656"/>
      <c r="BX251" s="1656"/>
      <c r="BY251" s="1656"/>
      <c r="BZ251" s="1656"/>
      <c r="CA251" s="1656"/>
      <c r="CB251" s="1656"/>
      <c r="CC251" s="1656"/>
      <c r="CD251" s="1656"/>
      <c r="CE251" s="1656"/>
      <c r="CF251" s="1656"/>
      <c r="CG251" s="1656"/>
      <c r="CH251" s="1656"/>
      <c r="CI251" s="1656"/>
      <c r="CJ251" s="1656"/>
      <c r="CK251" s="1656"/>
      <c r="CL251" s="1656"/>
      <c r="CM251" s="1656"/>
      <c r="CN251" s="1656"/>
      <c r="CO251" s="1656"/>
      <c r="CP251" s="1656"/>
      <c r="CQ251" s="1656"/>
      <c r="CR251" s="1656"/>
      <c r="CS251" s="1656"/>
      <c r="CT251" s="1656"/>
      <c r="CU251" s="1656"/>
      <c r="CV251" s="1656"/>
      <c r="CW251" s="1656"/>
      <c r="CX251" s="1656"/>
      <c r="CY251" s="1656"/>
      <c r="CZ251" s="1656"/>
      <c r="DA251" s="1656"/>
      <c r="DB251" s="1656"/>
      <c r="DC251" s="1656"/>
      <c r="DD251" s="1656"/>
      <c r="DE251" s="1656"/>
      <c r="DF251" s="1656"/>
      <c r="DG251" s="1656"/>
      <c r="DH251" s="1656"/>
      <c r="DI251" s="1656"/>
      <c r="DJ251" s="1656"/>
      <c r="DK251" s="1656"/>
      <c r="DL251" s="1656"/>
      <c r="DM251" s="1656"/>
      <c r="DN251" s="1656"/>
      <c r="DO251" s="1656"/>
      <c r="DP251" s="1656"/>
      <c r="DQ251" s="1656"/>
      <c r="DR251" s="1656"/>
      <c r="DS251" s="1656"/>
      <c r="DT251" s="1656"/>
      <c r="DU251" s="1656"/>
      <c r="DV251" s="1656"/>
      <c r="DW251" s="1656"/>
      <c r="DX251" s="1656"/>
      <c r="DY251" s="1656"/>
      <c r="DZ251" s="1656"/>
      <c r="EA251" s="1656"/>
      <c r="EB251" s="1656"/>
      <c r="EC251" s="1656"/>
      <c r="ED251" s="1656"/>
      <c r="EE251" s="1656"/>
      <c r="EF251" s="1656"/>
      <c r="EG251" s="1656"/>
      <c r="EH251" s="1656"/>
      <c r="EI251" s="1656"/>
      <c r="EJ251" s="1656"/>
      <c r="EK251" s="1656"/>
      <c r="EL251" s="1656"/>
      <c r="EM251" s="1656"/>
      <c r="EN251" s="1656"/>
      <c r="EO251" s="1656"/>
      <c r="EP251" s="1656"/>
      <c r="EQ251" s="1656"/>
      <c r="ER251" s="1656"/>
      <c r="ES251" s="1656"/>
      <c r="ET251" s="1656"/>
      <c r="EU251" s="1656"/>
      <c r="EV251" s="1656"/>
      <c r="EW251" s="1656"/>
      <c r="EX251" s="1656"/>
      <c r="EY251" s="1656"/>
      <c r="EZ251" s="1656"/>
      <c r="FA251" s="1656"/>
      <c r="FB251" s="1656"/>
      <c r="FC251" s="1656"/>
      <c r="FD251" s="1656"/>
      <c r="FE251" s="1656"/>
      <c r="FF251" s="1656"/>
    </row>
    <row r="253" spans="6:162" s="1658" customFormat="1" ht="15.75" customHeight="1">
      <c r="F253" s="1656"/>
      <c r="G253" s="1656"/>
      <c r="H253" s="1656"/>
      <c r="I253" s="1656"/>
      <c r="J253" s="1656"/>
      <c r="K253" s="1656"/>
      <c r="L253" s="1656"/>
      <c r="M253" s="1656"/>
      <c r="N253" s="1656"/>
      <c r="O253" s="1656"/>
      <c r="P253" s="1656"/>
      <c r="Q253" s="1656"/>
      <c r="R253" s="1656"/>
      <c r="S253" s="1656"/>
      <c r="T253" s="1656"/>
      <c r="U253" s="1656"/>
      <c r="V253" s="1656"/>
      <c r="W253" s="1656"/>
      <c r="X253" s="1656"/>
      <c r="Y253" s="1656"/>
      <c r="AA253" s="1656"/>
      <c r="AC253" s="1656"/>
      <c r="AD253" s="1656"/>
      <c r="AE253" s="1656"/>
      <c r="AF253" s="1656"/>
      <c r="AG253" s="1656"/>
      <c r="AH253" s="1657"/>
      <c r="AI253" s="1657"/>
      <c r="AJ253" s="1656"/>
      <c r="AK253" s="1656"/>
      <c r="AL253" s="1656"/>
      <c r="AM253" s="1656"/>
      <c r="AN253" s="1656"/>
      <c r="AO253" s="1656"/>
      <c r="AP253" s="1656"/>
      <c r="AQ253" s="1656"/>
      <c r="AR253" s="1656"/>
      <c r="AS253" s="1656"/>
      <c r="AT253" s="1656"/>
      <c r="AU253" s="1656"/>
      <c r="AV253" s="1656"/>
      <c r="AW253" s="1656"/>
      <c r="AX253" s="1656"/>
      <c r="AY253" s="1656"/>
      <c r="AZ253" s="1656"/>
      <c r="BA253" s="1656"/>
      <c r="BB253" s="1656"/>
      <c r="BC253" s="1656"/>
      <c r="BD253" s="1656"/>
      <c r="BE253" s="1656"/>
      <c r="BF253" s="1656"/>
      <c r="BG253" s="1656"/>
      <c r="BH253" s="1656"/>
      <c r="BI253" s="1656"/>
      <c r="BJ253" s="1656"/>
      <c r="BK253" s="1656"/>
      <c r="BL253" s="1656"/>
      <c r="BM253" s="1656"/>
      <c r="BN253" s="1656"/>
      <c r="BO253" s="1656"/>
      <c r="BP253" s="1656"/>
      <c r="BQ253" s="1656"/>
      <c r="BR253" s="1656"/>
      <c r="BS253" s="1656"/>
      <c r="BT253" s="1656"/>
      <c r="BU253" s="1656"/>
      <c r="BV253" s="1656"/>
      <c r="BW253" s="1656"/>
      <c r="BX253" s="1656"/>
      <c r="BY253" s="1656"/>
      <c r="BZ253" s="1656"/>
      <c r="CA253" s="1656"/>
      <c r="CB253" s="1656"/>
      <c r="CC253" s="1656"/>
      <c r="CD253" s="1656"/>
      <c r="CE253" s="1656"/>
      <c r="CF253" s="1656"/>
      <c r="CG253" s="1656"/>
      <c r="CH253" s="1656"/>
      <c r="CI253" s="1656"/>
      <c r="CJ253" s="1656"/>
      <c r="CK253" s="1656"/>
      <c r="CL253" s="1656"/>
      <c r="CM253" s="1656"/>
      <c r="CN253" s="1656"/>
      <c r="CO253" s="1656"/>
      <c r="CP253" s="1656"/>
      <c r="CQ253" s="1656"/>
      <c r="CR253" s="1656"/>
      <c r="CS253" s="1656"/>
      <c r="CT253" s="1656"/>
      <c r="CU253" s="1656"/>
      <c r="CV253" s="1656"/>
      <c r="CW253" s="1656"/>
      <c r="CX253" s="1656"/>
      <c r="CY253" s="1656"/>
      <c r="CZ253" s="1656"/>
      <c r="DA253" s="1656"/>
      <c r="DB253" s="1656"/>
      <c r="DC253" s="1656"/>
      <c r="DD253" s="1656"/>
      <c r="DE253" s="1656"/>
      <c r="DF253" s="1656"/>
      <c r="DG253" s="1656"/>
      <c r="DH253" s="1656"/>
      <c r="DI253" s="1656"/>
      <c r="DJ253" s="1656"/>
      <c r="DK253" s="1656"/>
      <c r="DL253" s="1656"/>
      <c r="DM253" s="1656"/>
      <c r="DN253" s="1656"/>
      <c r="DO253" s="1656"/>
      <c r="DP253" s="1656"/>
      <c r="DQ253" s="1656"/>
      <c r="DR253" s="1656"/>
      <c r="DS253" s="1656"/>
      <c r="DT253" s="1656"/>
      <c r="DU253" s="1656"/>
      <c r="DV253" s="1656"/>
      <c r="DW253" s="1656"/>
      <c r="DX253" s="1656"/>
      <c r="DY253" s="1656"/>
      <c r="DZ253" s="1656"/>
      <c r="EA253" s="1656"/>
      <c r="EB253" s="1656"/>
      <c r="EC253" s="1656"/>
      <c r="ED253" s="1656"/>
      <c r="EE253" s="1656"/>
      <c r="EF253" s="1656"/>
      <c r="EG253" s="1656"/>
      <c r="EH253" s="1656"/>
      <c r="EI253" s="1656"/>
      <c r="EJ253" s="1656"/>
      <c r="EK253" s="1656"/>
      <c r="EL253" s="1656"/>
      <c r="EM253" s="1656"/>
      <c r="EN253" s="1656"/>
      <c r="EO253" s="1656"/>
      <c r="EP253" s="1656"/>
      <c r="EQ253" s="1656"/>
      <c r="ER253" s="1656"/>
      <c r="ES253" s="1656"/>
      <c r="ET253" s="1656"/>
      <c r="EU253" s="1656"/>
      <c r="EV253" s="1656"/>
      <c r="EW253" s="1656"/>
      <c r="EX253" s="1656"/>
      <c r="EY253" s="1656"/>
      <c r="EZ253" s="1656"/>
      <c r="FA253" s="1656"/>
      <c r="FB253" s="1656"/>
      <c r="FC253" s="1656"/>
      <c r="FD253" s="1656"/>
      <c r="FE253" s="1656"/>
      <c r="FF253" s="1656"/>
    </row>
    <row r="255" spans="6:162" s="1658" customFormat="1" ht="15.75" customHeight="1">
      <c r="F255" s="1656"/>
      <c r="G255" s="1656"/>
      <c r="H255" s="1656"/>
      <c r="I255" s="1656"/>
      <c r="J255" s="1656"/>
      <c r="K255" s="1656"/>
      <c r="L255" s="1656"/>
      <c r="M255" s="1656"/>
      <c r="N255" s="1656"/>
      <c r="O255" s="1656"/>
      <c r="P255" s="1656"/>
      <c r="Q255" s="1656"/>
      <c r="R255" s="1656"/>
      <c r="S255" s="1656"/>
      <c r="T255" s="1656"/>
      <c r="U255" s="1656"/>
      <c r="V255" s="1656"/>
      <c r="W255" s="1656"/>
      <c r="X255" s="1656"/>
      <c r="Y255" s="1656"/>
      <c r="AA255" s="1656"/>
      <c r="AC255" s="1656"/>
      <c r="AD255" s="1656"/>
      <c r="AE255" s="1656"/>
      <c r="AF255" s="1656"/>
      <c r="AG255" s="1656"/>
      <c r="AH255" s="1657"/>
      <c r="AI255" s="1657"/>
      <c r="AJ255" s="1656"/>
      <c r="AK255" s="1656"/>
      <c r="AL255" s="1656"/>
      <c r="AM255" s="1656"/>
      <c r="AN255" s="1656"/>
      <c r="AO255" s="1656"/>
      <c r="AP255" s="1656"/>
      <c r="AQ255" s="1656"/>
      <c r="AR255" s="1656"/>
      <c r="AS255" s="1656"/>
      <c r="AT255" s="1656"/>
      <c r="AU255" s="1656"/>
      <c r="AV255" s="1656"/>
      <c r="AW255" s="1656"/>
      <c r="AX255" s="1656"/>
      <c r="AY255" s="1656"/>
      <c r="AZ255" s="1656"/>
      <c r="BA255" s="1656"/>
      <c r="BB255" s="1656"/>
      <c r="BC255" s="1656"/>
      <c r="BD255" s="1656"/>
      <c r="BE255" s="1656"/>
      <c r="BF255" s="1656"/>
      <c r="BG255" s="1656"/>
      <c r="BH255" s="1656"/>
      <c r="BI255" s="1656"/>
      <c r="BJ255" s="1656"/>
      <c r="BK255" s="1656"/>
      <c r="BL255" s="1656"/>
      <c r="BM255" s="1656"/>
      <c r="BN255" s="1656"/>
      <c r="BO255" s="1656"/>
      <c r="BP255" s="1656"/>
      <c r="BQ255" s="1656"/>
      <c r="BR255" s="1656"/>
      <c r="BS255" s="1656"/>
      <c r="BT255" s="1656"/>
      <c r="BU255" s="1656"/>
      <c r="BV255" s="1656"/>
      <c r="BW255" s="1656"/>
      <c r="BX255" s="1656"/>
      <c r="BY255" s="1656"/>
      <c r="BZ255" s="1656"/>
      <c r="CA255" s="1656"/>
      <c r="CB255" s="1656"/>
      <c r="CC255" s="1656"/>
      <c r="CD255" s="1656"/>
      <c r="CE255" s="1656"/>
      <c r="CF255" s="1656"/>
      <c r="CG255" s="1656"/>
      <c r="CH255" s="1656"/>
      <c r="CI255" s="1656"/>
      <c r="CJ255" s="1656"/>
      <c r="CK255" s="1656"/>
      <c r="CL255" s="1656"/>
      <c r="CM255" s="1656"/>
      <c r="CN255" s="1656"/>
      <c r="CO255" s="1656"/>
      <c r="CP255" s="1656"/>
      <c r="CQ255" s="1656"/>
      <c r="CR255" s="1656"/>
      <c r="CS255" s="1656"/>
      <c r="CT255" s="1656"/>
      <c r="CU255" s="1656"/>
      <c r="CV255" s="1656"/>
      <c r="CW255" s="1656"/>
      <c r="CX255" s="1656"/>
      <c r="CY255" s="1656"/>
      <c r="CZ255" s="1656"/>
      <c r="DA255" s="1656"/>
      <c r="DB255" s="1656"/>
      <c r="DC255" s="1656"/>
      <c r="DD255" s="1656"/>
      <c r="DE255" s="1656"/>
      <c r="DF255" s="1656"/>
      <c r="DG255" s="1656"/>
      <c r="DH255" s="1656"/>
      <c r="DI255" s="1656"/>
      <c r="DJ255" s="1656"/>
      <c r="DK255" s="1656"/>
      <c r="DL255" s="1656"/>
      <c r="DM255" s="1656"/>
      <c r="DN255" s="1656"/>
      <c r="DO255" s="1656"/>
      <c r="DP255" s="1656"/>
      <c r="DQ255" s="1656"/>
      <c r="DR255" s="1656"/>
      <c r="DS255" s="1656"/>
      <c r="DT255" s="1656"/>
      <c r="DU255" s="1656"/>
      <c r="DV255" s="1656"/>
      <c r="DW255" s="1656"/>
      <c r="DX255" s="1656"/>
      <c r="DY255" s="1656"/>
      <c r="DZ255" s="1656"/>
      <c r="EA255" s="1656"/>
      <c r="EB255" s="1656"/>
      <c r="EC255" s="1656"/>
      <c r="ED255" s="1656"/>
      <c r="EE255" s="1656"/>
      <c r="EF255" s="1656"/>
      <c r="EG255" s="1656"/>
      <c r="EH255" s="1656"/>
      <c r="EI255" s="1656"/>
      <c r="EJ255" s="1656"/>
      <c r="EK255" s="1656"/>
      <c r="EL255" s="1656"/>
      <c r="EM255" s="1656"/>
      <c r="EN255" s="1656"/>
      <c r="EO255" s="1656"/>
      <c r="EP255" s="1656"/>
      <c r="EQ255" s="1656"/>
      <c r="ER255" s="1656"/>
      <c r="ES255" s="1656"/>
      <c r="ET255" s="1656"/>
      <c r="EU255" s="1656"/>
      <c r="EV255" s="1656"/>
      <c r="EW255" s="1656"/>
      <c r="EX255" s="1656"/>
      <c r="EY255" s="1656"/>
      <c r="EZ255" s="1656"/>
      <c r="FA255" s="1656"/>
      <c r="FB255" s="1656"/>
      <c r="FC255" s="1656"/>
      <c r="FD255" s="1656"/>
      <c r="FE255" s="1656"/>
      <c r="FF255" s="1656"/>
    </row>
    <row r="257" spans="6:162" s="1658" customFormat="1" ht="15.75" customHeight="1">
      <c r="F257" s="1656"/>
      <c r="G257" s="1656"/>
      <c r="H257" s="1656"/>
      <c r="I257" s="1656"/>
      <c r="J257" s="1656"/>
      <c r="K257" s="1656"/>
      <c r="L257" s="1656"/>
      <c r="M257" s="1656"/>
      <c r="N257" s="1656"/>
      <c r="O257" s="1656"/>
      <c r="P257" s="1656"/>
      <c r="Q257" s="1656"/>
      <c r="R257" s="1656"/>
      <c r="S257" s="1656"/>
      <c r="T257" s="1656"/>
      <c r="U257" s="1656"/>
      <c r="V257" s="1656"/>
      <c r="W257" s="1656"/>
      <c r="X257" s="1656"/>
      <c r="Y257" s="1656"/>
      <c r="AA257" s="1656"/>
      <c r="AC257" s="1656"/>
      <c r="AD257" s="1656"/>
      <c r="AE257" s="1656"/>
      <c r="AF257" s="1656"/>
      <c r="AG257" s="1656"/>
      <c r="AH257" s="1657"/>
      <c r="AI257" s="1657"/>
      <c r="AJ257" s="1656"/>
      <c r="AK257" s="1656"/>
      <c r="AL257" s="1656"/>
      <c r="AM257" s="1656"/>
      <c r="AN257" s="1656"/>
      <c r="AO257" s="1656"/>
      <c r="AP257" s="1656"/>
      <c r="AQ257" s="1656"/>
      <c r="AR257" s="1656"/>
      <c r="AS257" s="1656"/>
      <c r="AT257" s="1656"/>
      <c r="AU257" s="1656"/>
      <c r="AV257" s="1656"/>
      <c r="AW257" s="1656"/>
      <c r="AX257" s="1656"/>
      <c r="AY257" s="1656"/>
      <c r="AZ257" s="1656"/>
      <c r="BA257" s="1656"/>
      <c r="BB257" s="1656"/>
      <c r="BC257" s="1656"/>
      <c r="BD257" s="1656"/>
      <c r="BE257" s="1656"/>
      <c r="BF257" s="1656"/>
      <c r="BG257" s="1656"/>
      <c r="BH257" s="1656"/>
      <c r="BI257" s="1656"/>
      <c r="BJ257" s="1656"/>
      <c r="BK257" s="1656"/>
      <c r="BL257" s="1656"/>
      <c r="BM257" s="1656"/>
      <c r="BN257" s="1656"/>
      <c r="BO257" s="1656"/>
      <c r="BP257" s="1656"/>
      <c r="BQ257" s="1656"/>
      <c r="BR257" s="1656"/>
      <c r="BS257" s="1656"/>
      <c r="BT257" s="1656"/>
      <c r="BU257" s="1656"/>
      <c r="BV257" s="1656"/>
      <c r="BW257" s="1656"/>
      <c r="BX257" s="1656"/>
      <c r="BY257" s="1656"/>
      <c r="BZ257" s="1656"/>
      <c r="CA257" s="1656"/>
      <c r="CB257" s="1656"/>
      <c r="CC257" s="1656"/>
      <c r="CD257" s="1656"/>
      <c r="CE257" s="1656"/>
      <c r="CF257" s="1656"/>
      <c r="CG257" s="1656"/>
      <c r="CH257" s="1656"/>
      <c r="CI257" s="1656"/>
      <c r="CJ257" s="1656"/>
      <c r="CK257" s="1656"/>
      <c r="CL257" s="1656"/>
      <c r="CM257" s="1656"/>
      <c r="CN257" s="1656"/>
      <c r="CO257" s="1656"/>
      <c r="CP257" s="1656"/>
      <c r="CQ257" s="1656"/>
      <c r="CR257" s="1656"/>
      <c r="CS257" s="1656"/>
      <c r="CT257" s="1656"/>
      <c r="CU257" s="1656"/>
      <c r="CV257" s="1656"/>
      <c r="CW257" s="1656"/>
      <c r="CX257" s="1656"/>
      <c r="CY257" s="1656"/>
      <c r="CZ257" s="1656"/>
      <c r="DA257" s="1656"/>
      <c r="DB257" s="1656"/>
      <c r="DC257" s="1656"/>
      <c r="DD257" s="1656"/>
      <c r="DE257" s="1656"/>
      <c r="DF257" s="1656"/>
      <c r="DG257" s="1656"/>
      <c r="DH257" s="1656"/>
      <c r="DI257" s="1656"/>
      <c r="DJ257" s="1656"/>
      <c r="DK257" s="1656"/>
      <c r="DL257" s="1656"/>
      <c r="DM257" s="1656"/>
      <c r="DN257" s="1656"/>
      <c r="DO257" s="1656"/>
      <c r="DP257" s="1656"/>
      <c r="DQ257" s="1656"/>
      <c r="DR257" s="1656"/>
      <c r="DS257" s="1656"/>
      <c r="DT257" s="1656"/>
      <c r="DU257" s="1656"/>
      <c r="DV257" s="1656"/>
      <c r="DW257" s="1656"/>
      <c r="DX257" s="1656"/>
      <c r="DY257" s="1656"/>
      <c r="DZ257" s="1656"/>
      <c r="EA257" s="1656"/>
      <c r="EB257" s="1656"/>
      <c r="EC257" s="1656"/>
      <c r="ED257" s="1656"/>
      <c r="EE257" s="1656"/>
      <c r="EF257" s="1656"/>
      <c r="EG257" s="1656"/>
      <c r="EH257" s="1656"/>
      <c r="EI257" s="1656"/>
      <c r="EJ257" s="1656"/>
      <c r="EK257" s="1656"/>
      <c r="EL257" s="1656"/>
      <c r="EM257" s="1656"/>
      <c r="EN257" s="1656"/>
      <c r="EO257" s="1656"/>
      <c r="EP257" s="1656"/>
      <c r="EQ257" s="1656"/>
      <c r="ER257" s="1656"/>
      <c r="ES257" s="1656"/>
      <c r="ET257" s="1656"/>
      <c r="EU257" s="1656"/>
      <c r="EV257" s="1656"/>
      <c r="EW257" s="1656"/>
      <c r="EX257" s="1656"/>
      <c r="EY257" s="1656"/>
      <c r="EZ257" s="1656"/>
      <c r="FA257" s="1656"/>
      <c r="FB257" s="1656"/>
      <c r="FC257" s="1656"/>
      <c r="FD257" s="1656"/>
      <c r="FE257" s="1656"/>
      <c r="FF257" s="1656"/>
    </row>
    <row r="259" spans="6:162" s="1658" customFormat="1" ht="15.75" customHeight="1">
      <c r="F259" s="1656"/>
      <c r="G259" s="1656"/>
      <c r="H259" s="1656"/>
      <c r="I259" s="1656"/>
      <c r="J259" s="1656"/>
      <c r="K259" s="1656"/>
      <c r="L259" s="1656"/>
      <c r="M259" s="1656"/>
      <c r="N259" s="1656"/>
      <c r="O259" s="1656"/>
      <c r="P259" s="1656"/>
      <c r="Q259" s="1656"/>
      <c r="R259" s="1656"/>
      <c r="S259" s="1656"/>
      <c r="T259" s="1656"/>
      <c r="U259" s="1656"/>
      <c r="V259" s="1656"/>
      <c r="W259" s="1656"/>
      <c r="X259" s="1656"/>
      <c r="Y259" s="1656"/>
      <c r="AA259" s="1656"/>
      <c r="AC259" s="1656"/>
      <c r="AD259" s="1656"/>
      <c r="AE259" s="1656"/>
      <c r="AF259" s="1656"/>
      <c r="AG259" s="1656"/>
      <c r="AH259" s="1657"/>
      <c r="AI259" s="1657"/>
      <c r="AJ259" s="1656"/>
      <c r="AK259" s="1656"/>
      <c r="AL259" s="1656"/>
      <c r="AM259" s="1656"/>
      <c r="AN259" s="1656"/>
      <c r="AO259" s="1656"/>
      <c r="AP259" s="1656"/>
      <c r="AQ259" s="1656"/>
      <c r="AR259" s="1656"/>
      <c r="AS259" s="1656"/>
      <c r="AT259" s="1656"/>
      <c r="AU259" s="1656"/>
      <c r="AV259" s="1656"/>
      <c r="AW259" s="1656"/>
      <c r="AX259" s="1656"/>
      <c r="AY259" s="1656"/>
      <c r="AZ259" s="1656"/>
      <c r="BA259" s="1656"/>
      <c r="BB259" s="1656"/>
      <c r="BC259" s="1656"/>
      <c r="BD259" s="1656"/>
      <c r="BE259" s="1656"/>
      <c r="BF259" s="1656"/>
      <c r="BG259" s="1656"/>
      <c r="BH259" s="1656"/>
      <c r="BI259" s="1656"/>
      <c r="BJ259" s="1656"/>
      <c r="BK259" s="1656"/>
      <c r="BL259" s="1656"/>
      <c r="BM259" s="1656"/>
      <c r="BN259" s="1656"/>
      <c r="BO259" s="1656"/>
      <c r="BP259" s="1656"/>
      <c r="BQ259" s="1656"/>
      <c r="BR259" s="1656"/>
      <c r="BS259" s="1656"/>
      <c r="BT259" s="1656"/>
      <c r="BU259" s="1656"/>
      <c r="BV259" s="1656"/>
      <c r="BW259" s="1656"/>
      <c r="BX259" s="1656"/>
      <c r="BY259" s="1656"/>
      <c r="BZ259" s="1656"/>
      <c r="CA259" s="1656"/>
      <c r="CB259" s="1656"/>
      <c r="CC259" s="1656"/>
      <c r="CD259" s="1656"/>
      <c r="CE259" s="1656"/>
      <c r="CF259" s="1656"/>
      <c r="CG259" s="1656"/>
      <c r="CH259" s="1656"/>
      <c r="CI259" s="1656"/>
      <c r="CJ259" s="1656"/>
      <c r="CK259" s="1656"/>
      <c r="CL259" s="1656"/>
      <c r="CM259" s="1656"/>
      <c r="CN259" s="1656"/>
      <c r="CO259" s="1656"/>
      <c r="CP259" s="1656"/>
      <c r="CQ259" s="1656"/>
      <c r="CR259" s="1656"/>
      <c r="CS259" s="1656"/>
      <c r="CT259" s="1656"/>
      <c r="CU259" s="1656"/>
      <c r="CV259" s="1656"/>
      <c r="CW259" s="1656"/>
      <c r="CX259" s="1656"/>
      <c r="CY259" s="1656"/>
      <c r="CZ259" s="1656"/>
      <c r="DA259" s="1656"/>
      <c r="DB259" s="1656"/>
      <c r="DC259" s="1656"/>
      <c r="DD259" s="1656"/>
      <c r="DE259" s="1656"/>
      <c r="DF259" s="1656"/>
      <c r="DG259" s="1656"/>
      <c r="DH259" s="1656"/>
      <c r="DI259" s="1656"/>
      <c r="DJ259" s="1656"/>
      <c r="DK259" s="1656"/>
      <c r="DL259" s="1656"/>
      <c r="DM259" s="1656"/>
      <c r="DN259" s="1656"/>
      <c r="DO259" s="1656"/>
      <c r="DP259" s="1656"/>
      <c r="DQ259" s="1656"/>
      <c r="DR259" s="1656"/>
      <c r="DS259" s="1656"/>
      <c r="DT259" s="1656"/>
      <c r="DU259" s="1656"/>
      <c r="DV259" s="1656"/>
      <c r="DW259" s="1656"/>
      <c r="DX259" s="1656"/>
      <c r="DY259" s="1656"/>
      <c r="DZ259" s="1656"/>
      <c r="EA259" s="1656"/>
      <c r="EB259" s="1656"/>
      <c r="EC259" s="1656"/>
      <c r="ED259" s="1656"/>
      <c r="EE259" s="1656"/>
      <c r="EF259" s="1656"/>
      <c r="EG259" s="1656"/>
      <c r="EH259" s="1656"/>
      <c r="EI259" s="1656"/>
      <c r="EJ259" s="1656"/>
      <c r="EK259" s="1656"/>
      <c r="EL259" s="1656"/>
      <c r="EM259" s="1656"/>
      <c r="EN259" s="1656"/>
      <c r="EO259" s="1656"/>
      <c r="EP259" s="1656"/>
      <c r="EQ259" s="1656"/>
      <c r="ER259" s="1656"/>
      <c r="ES259" s="1656"/>
      <c r="ET259" s="1656"/>
      <c r="EU259" s="1656"/>
      <c r="EV259" s="1656"/>
      <c r="EW259" s="1656"/>
      <c r="EX259" s="1656"/>
      <c r="EY259" s="1656"/>
      <c r="EZ259" s="1656"/>
      <c r="FA259" s="1656"/>
      <c r="FB259" s="1656"/>
      <c r="FC259" s="1656"/>
      <c r="FD259" s="1656"/>
      <c r="FE259" s="1656"/>
      <c r="FF259" s="1656"/>
    </row>
    <row r="261" spans="6:162" s="1658" customFormat="1" ht="15.75" customHeight="1">
      <c r="F261" s="1656"/>
      <c r="G261" s="1656"/>
      <c r="H261" s="1656"/>
      <c r="I261" s="1656"/>
      <c r="J261" s="1656"/>
      <c r="K261" s="1656"/>
      <c r="L261" s="1656"/>
      <c r="M261" s="1656"/>
      <c r="N261" s="1656"/>
      <c r="O261" s="1656"/>
      <c r="P261" s="1656"/>
      <c r="Q261" s="1656"/>
      <c r="R261" s="1656"/>
      <c r="S261" s="1656"/>
      <c r="T261" s="1656"/>
      <c r="U261" s="1656"/>
      <c r="V261" s="1656"/>
      <c r="W261" s="1656"/>
      <c r="X261" s="1656"/>
      <c r="Y261" s="1656"/>
      <c r="AA261" s="1656"/>
      <c r="AC261" s="1656"/>
      <c r="AD261" s="1656"/>
      <c r="AE261" s="1656"/>
      <c r="AF261" s="1656"/>
      <c r="AG261" s="1656"/>
      <c r="AH261" s="1657"/>
      <c r="AI261" s="1657"/>
      <c r="AJ261" s="1656"/>
      <c r="AK261" s="1656"/>
      <c r="AL261" s="1656"/>
      <c r="AM261" s="1656"/>
      <c r="AN261" s="1656"/>
      <c r="AO261" s="1656"/>
      <c r="AP261" s="1656"/>
      <c r="AQ261" s="1656"/>
      <c r="AR261" s="1656"/>
      <c r="AS261" s="1656"/>
      <c r="AT261" s="1656"/>
      <c r="AU261" s="1656"/>
      <c r="AV261" s="1656"/>
      <c r="AW261" s="1656"/>
      <c r="AX261" s="1656"/>
      <c r="AY261" s="1656"/>
      <c r="AZ261" s="1656"/>
      <c r="BA261" s="1656"/>
      <c r="BB261" s="1656"/>
      <c r="BC261" s="1656"/>
      <c r="BD261" s="1656"/>
      <c r="BE261" s="1656"/>
      <c r="BF261" s="1656"/>
      <c r="BG261" s="1656"/>
      <c r="BH261" s="1656"/>
      <c r="BI261" s="1656"/>
      <c r="BJ261" s="1656"/>
      <c r="BK261" s="1656"/>
      <c r="BL261" s="1656"/>
      <c r="BM261" s="1656"/>
      <c r="BN261" s="1656"/>
      <c r="BO261" s="1656"/>
      <c r="BP261" s="1656"/>
      <c r="BQ261" s="1656"/>
      <c r="BR261" s="1656"/>
      <c r="BS261" s="1656"/>
      <c r="BT261" s="1656"/>
      <c r="BU261" s="1656"/>
      <c r="BV261" s="1656"/>
      <c r="BW261" s="1656"/>
      <c r="BX261" s="1656"/>
      <c r="BY261" s="1656"/>
      <c r="BZ261" s="1656"/>
      <c r="CA261" s="1656"/>
      <c r="CB261" s="1656"/>
      <c r="CC261" s="1656"/>
      <c r="CD261" s="1656"/>
      <c r="CE261" s="1656"/>
      <c r="CF261" s="1656"/>
      <c r="CG261" s="1656"/>
      <c r="CH261" s="1656"/>
      <c r="CI261" s="1656"/>
      <c r="CJ261" s="1656"/>
      <c r="CK261" s="1656"/>
      <c r="CL261" s="1656"/>
      <c r="CM261" s="1656"/>
      <c r="CN261" s="1656"/>
      <c r="CO261" s="1656"/>
      <c r="CP261" s="1656"/>
      <c r="CQ261" s="1656"/>
      <c r="CR261" s="1656"/>
      <c r="CS261" s="1656"/>
      <c r="CT261" s="1656"/>
      <c r="CU261" s="1656"/>
      <c r="CV261" s="1656"/>
      <c r="CW261" s="1656"/>
      <c r="CX261" s="1656"/>
      <c r="CY261" s="1656"/>
      <c r="CZ261" s="1656"/>
      <c r="DA261" s="1656"/>
      <c r="DB261" s="1656"/>
      <c r="DC261" s="1656"/>
      <c r="DD261" s="1656"/>
      <c r="DE261" s="1656"/>
      <c r="DF261" s="1656"/>
      <c r="DG261" s="1656"/>
      <c r="DH261" s="1656"/>
      <c r="DI261" s="1656"/>
      <c r="DJ261" s="1656"/>
      <c r="DK261" s="1656"/>
      <c r="DL261" s="1656"/>
      <c r="DM261" s="1656"/>
      <c r="DN261" s="1656"/>
      <c r="DO261" s="1656"/>
      <c r="DP261" s="1656"/>
      <c r="DQ261" s="1656"/>
      <c r="DR261" s="1656"/>
      <c r="DS261" s="1656"/>
      <c r="DT261" s="1656"/>
      <c r="DU261" s="1656"/>
      <c r="DV261" s="1656"/>
      <c r="DW261" s="1656"/>
      <c r="DX261" s="1656"/>
      <c r="DY261" s="1656"/>
      <c r="DZ261" s="1656"/>
      <c r="EA261" s="1656"/>
      <c r="EB261" s="1656"/>
      <c r="EC261" s="1656"/>
      <c r="ED261" s="1656"/>
      <c r="EE261" s="1656"/>
      <c r="EF261" s="1656"/>
      <c r="EG261" s="1656"/>
      <c r="EH261" s="1656"/>
      <c r="EI261" s="1656"/>
      <c r="EJ261" s="1656"/>
      <c r="EK261" s="1656"/>
      <c r="EL261" s="1656"/>
      <c r="EM261" s="1656"/>
      <c r="EN261" s="1656"/>
      <c r="EO261" s="1656"/>
      <c r="EP261" s="1656"/>
      <c r="EQ261" s="1656"/>
      <c r="ER261" s="1656"/>
      <c r="ES261" s="1656"/>
      <c r="ET261" s="1656"/>
      <c r="EU261" s="1656"/>
      <c r="EV261" s="1656"/>
      <c r="EW261" s="1656"/>
      <c r="EX261" s="1656"/>
      <c r="EY261" s="1656"/>
      <c r="EZ261" s="1656"/>
      <c r="FA261" s="1656"/>
      <c r="FB261" s="1656"/>
      <c r="FC261" s="1656"/>
      <c r="FD261" s="1656"/>
      <c r="FE261" s="1656"/>
      <c r="FF261" s="1656"/>
    </row>
    <row r="263" spans="6:162" s="1658" customFormat="1" ht="15.75" customHeight="1">
      <c r="F263" s="1656"/>
      <c r="G263" s="1656"/>
      <c r="H263" s="1656"/>
      <c r="I263" s="1656"/>
      <c r="J263" s="1656"/>
      <c r="K263" s="1656"/>
      <c r="L263" s="1656"/>
      <c r="M263" s="1656"/>
      <c r="N263" s="1656"/>
      <c r="O263" s="1656"/>
      <c r="P263" s="1656"/>
      <c r="Q263" s="1656"/>
      <c r="R263" s="1656"/>
      <c r="S263" s="1656"/>
      <c r="T263" s="1656"/>
      <c r="U263" s="1656"/>
      <c r="V263" s="1656"/>
      <c r="W263" s="1656"/>
      <c r="X263" s="1656"/>
      <c r="Y263" s="1656"/>
      <c r="AA263" s="1656"/>
      <c r="AC263" s="1656"/>
      <c r="AD263" s="1656"/>
      <c r="AE263" s="1656"/>
      <c r="AF263" s="1656"/>
      <c r="AG263" s="1656"/>
      <c r="AH263" s="1657"/>
      <c r="AI263" s="1657"/>
      <c r="AJ263" s="1656"/>
      <c r="AK263" s="1656"/>
      <c r="AL263" s="1656"/>
      <c r="AM263" s="1656"/>
      <c r="AN263" s="1656"/>
      <c r="AO263" s="1656"/>
      <c r="AP263" s="1656"/>
      <c r="AQ263" s="1656"/>
      <c r="AR263" s="1656"/>
      <c r="AS263" s="1656"/>
      <c r="AT263" s="1656"/>
      <c r="AU263" s="1656"/>
      <c r="AV263" s="1656"/>
      <c r="AW263" s="1656"/>
      <c r="AX263" s="1656"/>
      <c r="AY263" s="1656"/>
      <c r="AZ263" s="1656"/>
      <c r="BA263" s="1656"/>
      <c r="BB263" s="1656"/>
      <c r="BC263" s="1656"/>
      <c r="BD263" s="1656"/>
      <c r="BE263" s="1656"/>
      <c r="BF263" s="1656"/>
      <c r="BG263" s="1656"/>
      <c r="BH263" s="1656"/>
      <c r="BI263" s="1656"/>
      <c r="BJ263" s="1656"/>
      <c r="BK263" s="1656"/>
      <c r="BL263" s="1656"/>
      <c r="BM263" s="1656"/>
      <c r="BN263" s="1656"/>
      <c r="BO263" s="1656"/>
      <c r="BP263" s="1656"/>
      <c r="BQ263" s="1656"/>
      <c r="BR263" s="1656"/>
      <c r="BS263" s="1656"/>
      <c r="BT263" s="1656"/>
      <c r="BU263" s="1656"/>
      <c r="BV263" s="1656"/>
      <c r="BW263" s="1656"/>
      <c r="BX263" s="1656"/>
      <c r="BY263" s="1656"/>
      <c r="BZ263" s="1656"/>
      <c r="CA263" s="1656"/>
      <c r="CB263" s="1656"/>
      <c r="CC263" s="1656"/>
      <c r="CD263" s="1656"/>
      <c r="CE263" s="1656"/>
      <c r="CF263" s="1656"/>
      <c r="CG263" s="1656"/>
      <c r="CH263" s="1656"/>
      <c r="CI263" s="1656"/>
      <c r="CJ263" s="1656"/>
      <c r="CK263" s="1656"/>
      <c r="CL263" s="1656"/>
      <c r="CM263" s="1656"/>
      <c r="CN263" s="1656"/>
      <c r="CO263" s="1656"/>
      <c r="CP263" s="1656"/>
      <c r="CQ263" s="1656"/>
      <c r="CR263" s="1656"/>
      <c r="CS263" s="1656"/>
      <c r="CT263" s="1656"/>
      <c r="CU263" s="1656"/>
      <c r="CV263" s="1656"/>
      <c r="CW263" s="1656"/>
      <c r="CX263" s="1656"/>
      <c r="CY263" s="1656"/>
      <c r="CZ263" s="1656"/>
      <c r="DA263" s="1656"/>
      <c r="DB263" s="1656"/>
      <c r="DC263" s="1656"/>
      <c r="DD263" s="1656"/>
      <c r="DE263" s="1656"/>
      <c r="DF263" s="1656"/>
      <c r="DG263" s="1656"/>
      <c r="DH263" s="1656"/>
      <c r="DI263" s="1656"/>
      <c r="DJ263" s="1656"/>
      <c r="DK263" s="1656"/>
      <c r="DL263" s="1656"/>
      <c r="DM263" s="1656"/>
      <c r="DN263" s="1656"/>
      <c r="DO263" s="1656"/>
      <c r="DP263" s="1656"/>
      <c r="DQ263" s="1656"/>
      <c r="DR263" s="1656"/>
      <c r="DS263" s="1656"/>
      <c r="DT263" s="1656"/>
      <c r="DU263" s="1656"/>
      <c r="DV263" s="1656"/>
      <c r="DW263" s="1656"/>
      <c r="DX263" s="1656"/>
      <c r="DY263" s="1656"/>
      <c r="DZ263" s="1656"/>
      <c r="EA263" s="1656"/>
      <c r="EB263" s="1656"/>
      <c r="EC263" s="1656"/>
      <c r="ED263" s="1656"/>
      <c r="EE263" s="1656"/>
      <c r="EF263" s="1656"/>
      <c r="EG263" s="1656"/>
      <c r="EH263" s="1656"/>
      <c r="EI263" s="1656"/>
      <c r="EJ263" s="1656"/>
      <c r="EK263" s="1656"/>
      <c r="EL263" s="1656"/>
      <c r="EM263" s="1656"/>
      <c r="EN263" s="1656"/>
      <c r="EO263" s="1656"/>
      <c r="EP263" s="1656"/>
      <c r="EQ263" s="1656"/>
      <c r="ER263" s="1656"/>
      <c r="ES263" s="1656"/>
      <c r="ET263" s="1656"/>
      <c r="EU263" s="1656"/>
      <c r="EV263" s="1656"/>
      <c r="EW263" s="1656"/>
      <c r="EX263" s="1656"/>
      <c r="EY263" s="1656"/>
      <c r="EZ263" s="1656"/>
      <c r="FA263" s="1656"/>
      <c r="FB263" s="1656"/>
      <c r="FC263" s="1656"/>
      <c r="FD263" s="1656"/>
      <c r="FE263" s="1656"/>
      <c r="FF263" s="1656"/>
    </row>
    <row r="265" spans="6:162" s="1658" customFormat="1" ht="15.75" customHeight="1">
      <c r="F265" s="1656"/>
      <c r="G265" s="1656"/>
      <c r="H265" s="1656"/>
      <c r="I265" s="1656"/>
      <c r="J265" s="1656"/>
      <c r="K265" s="1656"/>
      <c r="L265" s="1656"/>
      <c r="M265" s="1656"/>
      <c r="N265" s="1656"/>
      <c r="O265" s="1656"/>
      <c r="P265" s="1656"/>
      <c r="Q265" s="1656"/>
      <c r="R265" s="1656"/>
      <c r="S265" s="1656"/>
      <c r="T265" s="1656"/>
      <c r="U265" s="1656"/>
      <c r="V265" s="1656"/>
      <c r="W265" s="1656"/>
      <c r="X265" s="1656"/>
      <c r="Y265" s="1656"/>
      <c r="AA265" s="1656"/>
      <c r="AC265" s="1656"/>
      <c r="AD265" s="1656"/>
      <c r="AE265" s="1656"/>
      <c r="AF265" s="1656"/>
      <c r="AG265" s="1656"/>
      <c r="AH265" s="1657"/>
      <c r="AI265" s="1657"/>
      <c r="AJ265" s="1656"/>
      <c r="AK265" s="1656"/>
      <c r="AL265" s="1656"/>
      <c r="AM265" s="1656"/>
      <c r="AN265" s="1656"/>
      <c r="AO265" s="1656"/>
      <c r="AP265" s="1656"/>
      <c r="AQ265" s="1656"/>
      <c r="AR265" s="1656"/>
      <c r="AS265" s="1656"/>
      <c r="AT265" s="1656"/>
      <c r="AU265" s="1656"/>
      <c r="AV265" s="1656"/>
      <c r="AW265" s="1656"/>
      <c r="AX265" s="1656"/>
      <c r="AY265" s="1656"/>
      <c r="AZ265" s="1656"/>
      <c r="BA265" s="1656"/>
      <c r="BB265" s="1656"/>
      <c r="BC265" s="1656"/>
      <c r="BD265" s="1656"/>
      <c r="BE265" s="1656"/>
      <c r="BF265" s="1656"/>
      <c r="BG265" s="1656"/>
      <c r="BH265" s="1656"/>
      <c r="BI265" s="1656"/>
      <c r="BJ265" s="1656"/>
      <c r="BK265" s="1656"/>
      <c r="BL265" s="1656"/>
      <c r="BM265" s="1656"/>
      <c r="BN265" s="1656"/>
      <c r="BO265" s="1656"/>
      <c r="BP265" s="1656"/>
      <c r="BQ265" s="1656"/>
      <c r="BR265" s="1656"/>
      <c r="BS265" s="1656"/>
      <c r="BT265" s="1656"/>
      <c r="BU265" s="1656"/>
      <c r="BV265" s="1656"/>
      <c r="BW265" s="1656"/>
      <c r="BX265" s="1656"/>
      <c r="BY265" s="1656"/>
      <c r="BZ265" s="1656"/>
      <c r="CA265" s="1656"/>
      <c r="CB265" s="1656"/>
      <c r="CC265" s="1656"/>
      <c r="CD265" s="1656"/>
      <c r="CE265" s="1656"/>
      <c r="CF265" s="1656"/>
      <c r="CG265" s="1656"/>
      <c r="CH265" s="1656"/>
      <c r="CI265" s="1656"/>
      <c r="CJ265" s="1656"/>
      <c r="CK265" s="1656"/>
      <c r="CL265" s="1656"/>
      <c r="CM265" s="1656"/>
      <c r="CN265" s="1656"/>
      <c r="CO265" s="1656"/>
      <c r="CP265" s="1656"/>
      <c r="CQ265" s="1656"/>
      <c r="CR265" s="1656"/>
      <c r="CS265" s="1656"/>
      <c r="CT265" s="1656"/>
      <c r="CU265" s="1656"/>
      <c r="CV265" s="1656"/>
      <c r="CW265" s="1656"/>
      <c r="CX265" s="1656"/>
      <c r="CY265" s="1656"/>
      <c r="CZ265" s="1656"/>
      <c r="DA265" s="1656"/>
      <c r="DB265" s="1656"/>
      <c r="DC265" s="1656"/>
      <c r="DD265" s="1656"/>
      <c r="DE265" s="1656"/>
      <c r="DF265" s="1656"/>
      <c r="DG265" s="1656"/>
      <c r="DH265" s="1656"/>
      <c r="DI265" s="1656"/>
      <c r="DJ265" s="1656"/>
      <c r="DK265" s="1656"/>
      <c r="DL265" s="1656"/>
      <c r="DM265" s="1656"/>
      <c r="DN265" s="1656"/>
      <c r="DO265" s="1656"/>
      <c r="DP265" s="1656"/>
      <c r="DQ265" s="1656"/>
      <c r="DR265" s="1656"/>
      <c r="DS265" s="1656"/>
      <c r="DT265" s="1656"/>
      <c r="DU265" s="1656"/>
      <c r="DV265" s="1656"/>
      <c r="DW265" s="1656"/>
      <c r="DX265" s="1656"/>
      <c r="DY265" s="1656"/>
      <c r="DZ265" s="1656"/>
      <c r="EA265" s="1656"/>
      <c r="EB265" s="1656"/>
      <c r="EC265" s="1656"/>
      <c r="ED265" s="1656"/>
      <c r="EE265" s="1656"/>
      <c r="EF265" s="1656"/>
      <c r="EG265" s="1656"/>
      <c r="EH265" s="1656"/>
      <c r="EI265" s="1656"/>
      <c r="EJ265" s="1656"/>
      <c r="EK265" s="1656"/>
      <c r="EL265" s="1656"/>
      <c r="EM265" s="1656"/>
      <c r="EN265" s="1656"/>
      <c r="EO265" s="1656"/>
      <c r="EP265" s="1656"/>
      <c r="EQ265" s="1656"/>
      <c r="ER265" s="1656"/>
      <c r="ES265" s="1656"/>
      <c r="ET265" s="1656"/>
      <c r="EU265" s="1656"/>
      <c r="EV265" s="1656"/>
      <c r="EW265" s="1656"/>
      <c r="EX265" s="1656"/>
      <c r="EY265" s="1656"/>
      <c r="EZ265" s="1656"/>
      <c r="FA265" s="1656"/>
      <c r="FB265" s="1656"/>
      <c r="FC265" s="1656"/>
      <c r="FD265" s="1656"/>
      <c r="FE265" s="1656"/>
      <c r="FF265" s="1656"/>
    </row>
    <row r="267" spans="6:162" s="1658" customFormat="1" ht="15.75" customHeight="1">
      <c r="F267" s="1656"/>
      <c r="G267" s="1656"/>
      <c r="H267" s="1656"/>
      <c r="I267" s="1656"/>
      <c r="J267" s="1656"/>
      <c r="K267" s="1656"/>
      <c r="L267" s="1656"/>
      <c r="M267" s="1656"/>
      <c r="N267" s="1656"/>
      <c r="O267" s="1656"/>
      <c r="P267" s="1656"/>
      <c r="Q267" s="1656"/>
      <c r="R267" s="1656"/>
      <c r="S267" s="1656"/>
      <c r="T267" s="1656"/>
      <c r="U267" s="1656"/>
      <c r="V267" s="1656"/>
      <c r="W267" s="1656"/>
      <c r="X267" s="1656"/>
      <c r="Y267" s="1656"/>
      <c r="AA267" s="1656"/>
      <c r="AC267" s="1656"/>
      <c r="AD267" s="1656"/>
      <c r="AE267" s="1656"/>
      <c r="AF267" s="1656"/>
      <c r="AG267" s="1656"/>
      <c r="AH267" s="1657"/>
      <c r="AI267" s="1657"/>
      <c r="AJ267" s="1656"/>
      <c r="AK267" s="1656"/>
      <c r="AL267" s="1656"/>
      <c r="AM267" s="1656"/>
      <c r="AN267" s="1656"/>
      <c r="AO267" s="1656"/>
      <c r="AP267" s="1656"/>
      <c r="AQ267" s="1656"/>
      <c r="AR267" s="1656"/>
      <c r="AS267" s="1656"/>
      <c r="AT267" s="1656"/>
      <c r="AU267" s="1656"/>
      <c r="AV267" s="1656"/>
      <c r="AW267" s="1656"/>
      <c r="AX267" s="1656"/>
      <c r="AY267" s="1656"/>
      <c r="AZ267" s="1656"/>
      <c r="BA267" s="1656"/>
      <c r="BB267" s="1656"/>
      <c r="BC267" s="1656"/>
      <c r="BD267" s="1656"/>
      <c r="BE267" s="1656"/>
      <c r="BF267" s="1656"/>
      <c r="BG267" s="1656"/>
      <c r="BH267" s="1656"/>
      <c r="BI267" s="1656"/>
      <c r="BJ267" s="1656"/>
      <c r="BK267" s="1656"/>
      <c r="BL267" s="1656"/>
      <c r="BM267" s="1656"/>
      <c r="BN267" s="1656"/>
      <c r="BO267" s="1656"/>
      <c r="BP267" s="1656"/>
      <c r="BQ267" s="1656"/>
      <c r="BR267" s="1656"/>
      <c r="BS267" s="1656"/>
      <c r="BT267" s="1656"/>
      <c r="BU267" s="1656"/>
      <c r="BV267" s="1656"/>
      <c r="BW267" s="1656"/>
      <c r="BX267" s="1656"/>
      <c r="BY267" s="1656"/>
      <c r="BZ267" s="1656"/>
      <c r="CA267" s="1656"/>
      <c r="CB267" s="1656"/>
      <c r="CC267" s="1656"/>
      <c r="CD267" s="1656"/>
      <c r="CE267" s="1656"/>
      <c r="CF267" s="1656"/>
      <c r="CG267" s="1656"/>
      <c r="CH267" s="1656"/>
      <c r="CI267" s="1656"/>
      <c r="CJ267" s="1656"/>
      <c r="CK267" s="1656"/>
      <c r="CL267" s="1656"/>
      <c r="CM267" s="1656"/>
      <c r="CN267" s="1656"/>
      <c r="CO267" s="1656"/>
      <c r="CP267" s="1656"/>
      <c r="CQ267" s="1656"/>
      <c r="CR267" s="1656"/>
      <c r="CS267" s="1656"/>
      <c r="CT267" s="1656"/>
      <c r="CU267" s="1656"/>
      <c r="CV267" s="1656"/>
      <c r="CW267" s="1656"/>
      <c r="CX267" s="1656"/>
      <c r="CY267" s="1656"/>
      <c r="CZ267" s="1656"/>
      <c r="DA267" s="1656"/>
      <c r="DB267" s="1656"/>
      <c r="DC267" s="1656"/>
      <c r="DD267" s="1656"/>
      <c r="DE267" s="1656"/>
      <c r="DF267" s="1656"/>
      <c r="DG267" s="1656"/>
      <c r="DH267" s="1656"/>
      <c r="DI267" s="1656"/>
      <c r="DJ267" s="1656"/>
      <c r="DK267" s="1656"/>
      <c r="DL267" s="1656"/>
      <c r="DM267" s="1656"/>
      <c r="DN267" s="1656"/>
      <c r="DO267" s="1656"/>
      <c r="DP267" s="1656"/>
      <c r="DQ267" s="1656"/>
      <c r="DR267" s="1656"/>
      <c r="DS267" s="1656"/>
      <c r="DT267" s="1656"/>
      <c r="DU267" s="1656"/>
      <c r="DV267" s="1656"/>
      <c r="DW267" s="1656"/>
      <c r="DX267" s="1656"/>
      <c r="DY267" s="1656"/>
      <c r="DZ267" s="1656"/>
      <c r="EA267" s="1656"/>
      <c r="EB267" s="1656"/>
      <c r="EC267" s="1656"/>
      <c r="ED267" s="1656"/>
      <c r="EE267" s="1656"/>
      <c r="EF267" s="1656"/>
      <c r="EG267" s="1656"/>
      <c r="EH267" s="1656"/>
      <c r="EI267" s="1656"/>
      <c r="EJ267" s="1656"/>
      <c r="EK267" s="1656"/>
      <c r="EL267" s="1656"/>
      <c r="EM267" s="1656"/>
      <c r="EN267" s="1656"/>
      <c r="EO267" s="1656"/>
      <c r="EP267" s="1656"/>
      <c r="EQ267" s="1656"/>
      <c r="ER267" s="1656"/>
      <c r="ES267" s="1656"/>
      <c r="ET267" s="1656"/>
      <c r="EU267" s="1656"/>
      <c r="EV267" s="1656"/>
      <c r="EW267" s="1656"/>
      <c r="EX267" s="1656"/>
      <c r="EY267" s="1656"/>
      <c r="EZ267" s="1656"/>
      <c r="FA267" s="1656"/>
      <c r="FB267" s="1656"/>
      <c r="FC267" s="1656"/>
      <c r="FD267" s="1656"/>
      <c r="FE267" s="1656"/>
      <c r="FF267" s="1656"/>
    </row>
    <row r="269" spans="6:162" s="1658" customFormat="1" ht="15.75" customHeight="1">
      <c r="F269" s="1656"/>
      <c r="G269" s="1656"/>
      <c r="H269" s="1656"/>
      <c r="I269" s="1656"/>
      <c r="J269" s="1656"/>
      <c r="K269" s="1656"/>
      <c r="L269" s="1656"/>
      <c r="M269" s="1656"/>
      <c r="N269" s="1656"/>
      <c r="O269" s="1656"/>
      <c r="P269" s="1656"/>
      <c r="Q269" s="1656"/>
      <c r="R269" s="1656"/>
      <c r="S269" s="1656"/>
      <c r="T269" s="1656"/>
      <c r="U269" s="1656"/>
      <c r="V269" s="1656"/>
      <c r="W269" s="1656"/>
      <c r="X269" s="1656"/>
      <c r="Y269" s="1656"/>
      <c r="AA269" s="1656"/>
      <c r="AC269" s="1656"/>
      <c r="AD269" s="1656"/>
      <c r="AE269" s="1656"/>
      <c r="AF269" s="1656"/>
      <c r="AG269" s="1656"/>
      <c r="AH269" s="1657"/>
      <c r="AI269" s="1657"/>
      <c r="AJ269" s="1656"/>
      <c r="AK269" s="1656"/>
      <c r="AL269" s="1656"/>
      <c r="AM269" s="1656"/>
      <c r="AN269" s="1656"/>
      <c r="AO269" s="1656"/>
      <c r="AP269" s="1656"/>
      <c r="AQ269" s="1656"/>
      <c r="AR269" s="1656"/>
      <c r="AS269" s="1656"/>
      <c r="AT269" s="1656"/>
      <c r="AU269" s="1656"/>
      <c r="AV269" s="1656"/>
      <c r="AW269" s="1656"/>
      <c r="AX269" s="1656"/>
      <c r="AY269" s="1656"/>
      <c r="AZ269" s="1656"/>
      <c r="BA269" s="1656"/>
      <c r="BB269" s="1656"/>
      <c r="BC269" s="1656"/>
      <c r="BD269" s="1656"/>
      <c r="BE269" s="1656"/>
      <c r="BF269" s="1656"/>
      <c r="BG269" s="1656"/>
      <c r="BH269" s="1656"/>
      <c r="BI269" s="1656"/>
      <c r="BJ269" s="1656"/>
      <c r="BK269" s="1656"/>
      <c r="BL269" s="1656"/>
      <c r="BM269" s="1656"/>
      <c r="BN269" s="1656"/>
      <c r="BO269" s="1656"/>
      <c r="BP269" s="1656"/>
      <c r="BQ269" s="1656"/>
      <c r="BR269" s="1656"/>
      <c r="BS269" s="1656"/>
      <c r="BT269" s="1656"/>
      <c r="BU269" s="1656"/>
      <c r="BV269" s="1656"/>
      <c r="BW269" s="1656"/>
      <c r="BX269" s="1656"/>
      <c r="BY269" s="1656"/>
      <c r="BZ269" s="1656"/>
      <c r="CA269" s="1656"/>
      <c r="CB269" s="1656"/>
      <c r="CC269" s="1656"/>
      <c r="CD269" s="1656"/>
      <c r="CE269" s="1656"/>
      <c r="CF269" s="1656"/>
      <c r="CG269" s="1656"/>
      <c r="CH269" s="1656"/>
      <c r="CI269" s="1656"/>
      <c r="CJ269" s="1656"/>
      <c r="CK269" s="1656"/>
      <c r="CL269" s="1656"/>
      <c r="CM269" s="1656"/>
      <c r="CN269" s="1656"/>
      <c r="CO269" s="1656"/>
      <c r="CP269" s="1656"/>
      <c r="CQ269" s="1656"/>
      <c r="CR269" s="1656"/>
      <c r="CS269" s="1656"/>
      <c r="CT269" s="1656"/>
      <c r="CU269" s="1656"/>
      <c r="CV269" s="1656"/>
      <c r="CW269" s="1656"/>
      <c r="CX269" s="1656"/>
      <c r="CY269" s="1656"/>
      <c r="CZ269" s="1656"/>
      <c r="DA269" s="1656"/>
      <c r="DB269" s="1656"/>
      <c r="DC269" s="1656"/>
      <c r="DD269" s="1656"/>
      <c r="DE269" s="1656"/>
      <c r="DF269" s="1656"/>
      <c r="DG269" s="1656"/>
      <c r="DH269" s="1656"/>
      <c r="DI269" s="1656"/>
      <c r="DJ269" s="1656"/>
      <c r="DK269" s="1656"/>
      <c r="DL269" s="1656"/>
      <c r="DM269" s="1656"/>
      <c r="DN269" s="1656"/>
      <c r="DO269" s="1656"/>
      <c r="DP269" s="1656"/>
      <c r="DQ269" s="1656"/>
      <c r="DR269" s="1656"/>
      <c r="DS269" s="1656"/>
      <c r="DT269" s="1656"/>
      <c r="DU269" s="1656"/>
      <c r="DV269" s="1656"/>
      <c r="DW269" s="1656"/>
      <c r="DX269" s="1656"/>
      <c r="DY269" s="1656"/>
      <c r="DZ269" s="1656"/>
      <c r="EA269" s="1656"/>
      <c r="EB269" s="1656"/>
      <c r="EC269" s="1656"/>
      <c r="ED269" s="1656"/>
      <c r="EE269" s="1656"/>
      <c r="EF269" s="1656"/>
      <c r="EG269" s="1656"/>
      <c r="EH269" s="1656"/>
      <c r="EI269" s="1656"/>
      <c r="EJ269" s="1656"/>
      <c r="EK269" s="1656"/>
      <c r="EL269" s="1656"/>
      <c r="EM269" s="1656"/>
      <c r="EN269" s="1656"/>
      <c r="EO269" s="1656"/>
      <c r="EP269" s="1656"/>
      <c r="EQ269" s="1656"/>
      <c r="ER269" s="1656"/>
      <c r="ES269" s="1656"/>
      <c r="ET269" s="1656"/>
      <c r="EU269" s="1656"/>
      <c r="EV269" s="1656"/>
      <c r="EW269" s="1656"/>
      <c r="EX269" s="1656"/>
      <c r="EY269" s="1656"/>
      <c r="EZ269" s="1656"/>
      <c r="FA269" s="1656"/>
      <c r="FB269" s="1656"/>
      <c r="FC269" s="1656"/>
      <c r="FD269" s="1656"/>
      <c r="FE269" s="1656"/>
      <c r="FF269" s="1656"/>
    </row>
    <row r="271" spans="6:162" s="1658" customFormat="1" ht="15.75" customHeight="1">
      <c r="F271" s="1656"/>
      <c r="G271" s="1656"/>
      <c r="H271" s="1656"/>
      <c r="I271" s="1656"/>
      <c r="J271" s="1656"/>
      <c r="K271" s="1656"/>
      <c r="L271" s="1656"/>
      <c r="M271" s="1656"/>
      <c r="N271" s="1656"/>
      <c r="O271" s="1656"/>
      <c r="P271" s="1656"/>
      <c r="Q271" s="1656"/>
      <c r="R271" s="1656"/>
      <c r="S271" s="1656"/>
      <c r="T271" s="1656"/>
      <c r="U271" s="1656"/>
      <c r="V271" s="1656"/>
      <c r="W271" s="1656"/>
      <c r="X271" s="1656"/>
      <c r="Y271" s="1656"/>
      <c r="AA271" s="1656"/>
      <c r="AC271" s="1656"/>
      <c r="AD271" s="1656"/>
      <c r="AE271" s="1656"/>
      <c r="AF271" s="1656"/>
      <c r="AG271" s="1656"/>
      <c r="AH271" s="1657"/>
      <c r="AI271" s="1657"/>
      <c r="AJ271" s="1656"/>
      <c r="AK271" s="1656"/>
      <c r="AL271" s="1656"/>
      <c r="AM271" s="1656"/>
      <c r="AN271" s="1656"/>
      <c r="AO271" s="1656"/>
      <c r="AP271" s="1656"/>
      <c r="AQ271" s="1656"/>
      <c r="AR271" s="1656"/>
      <c r="AS271" s="1656"/>
      <c r="AT271" s="1656"/>
      <c r="AU271" s="1656"/>
      <c r="AV271" s="1656"/>
      <c r="AW271" s="1656"/>
      <c r="AX271" s="1656"/>
      <c r="AY271" s="1656"/>
      <c r="AZ271" s="1656"/>
      <c r="BA271" s="1656"/>
      <c r="BB271" s="1656"/>
      <c r="BC271" s="1656"/>
      <c r="BD271" s="1656"/>
      <c r="BE271" s="1656"/>
      <c r="BF271" s="1656"/>
      <c r="BG271" s="1656"/>
      <c r="BH271" s="1656"/>
      <c r="BI271" s="1656"/>
      <c r="BJ271" s="1656"/>
      <c r="BK271" s="1656"/>
      <c r="BL271" s="1656"/>
      <c r="BM271" s="1656"/>
      <c r="BN271" s="1656"/>
      <c r="BO271" s="1656"/>
      <c r="BP271" s="1656"/>
      <c r="BQ271" s="1656"/>
      <c r="BR271" s="1656"/>
      <c r="BS271" s="1656"/>
      <c r="BT271" s="1656"/>
      <c r="BU271" s="1656"/>
      <c r="BV271" s="1656"/>
      <c r="BW271" s="1656"/>
      <c r="BX271" s="1656"/>
      <c r="BY271" s="1656"/>
      <c r="BZ271" s="1656"/>
      <c r="CA271" s="1656"/>
      <c r="CB271" s="1656"/>
      <c r="CC271" s="1656"/>
      <c r="CD271" s="1656"/>
      <c r="CE271" s="1656"/>
      <c r="CF271" s="1656"/>
      <c r="CG271" s="1656"/>
      <c r="CH271" s="1656"/>
      <c r="CI271" s="1656"/>
      <c r="CJ271" s="1656"/>
      <c r="CK271" s="1656"/>
      <c r="CL271" s="1656"/>
      <c r="CM271" s="1656"/>
      <c r="CN271" s="1656"/>
      <c r="CO271" s="1656"/>
      <c r="CP271" s="1656"/>
      <c r="CQ271" s="1656"/>
      <c r="CR271" s="1656"/>
      <c r="CS271" s="1656"/>
      <c r="CT271" s="1656"/>
      <c r="CU271" s="1656"/>
      <c r="CV271" s="1656"/>
      <c r="CW271" s="1656"/>
      <c r="CX271" s="1656"/>
      <c r="CY271" s="1656"/>
      <c r="CZ271" s="1656"/>
      <c r="DA271" s="1656"/>
      <c r="DB271" s="1656"/>
      <c r="DC271" s="1656"/>
      <c r="DD271" s="1656"/>
      <c r="DE271" s="1656"/>
      <c r="DF271" s="1656"/>
      <c r="DG271" s="1656"/>
      <c r="DH271" s="1656"/>
      <c r="DI271" s="1656"/>
      <c r="DJ271" s="1656"/>
      <c r="DK271" s="1656"/>
      <c r="DL271" s="1656"/>
      <c r="DM271" s="1656"/>
      <c r="DN271" s="1656"/>
      <c r="DO271" s="1656"/>
      <c r="DP271" s="1656"/>
      <c r="DQ271" s="1656"/>
      <c r="DR271" s="1656"/>
      <c r="DS271" s="1656"/>
      <c r="DT271" s="1656"/>
      <c r="DU271" s="1656"/>
      <c r="DV271" s="1656"/>
      <c r="DW271" s="1656"/>
      <c r="DX271" s="1656"/>
      <c r="DY271" s="1656"/>
      <c r="DZ271" s="1656"/>
      <c r="EA271" s="1656"/>
      <c r="EB271" s="1656"/>
      <c r="EC271" s="1656"/>
      <c r="ED271" s="1656"/>
      <c r="EE271" s="1656"/>
      <c r="EF271" s="1656"/>
      <c r="EG271" s="1656"/>
      <c r="EH271" s="1656"/>
      <c r="EI271" s="1656"/>
      <c r="EJ271" s="1656"/>
      <c r="EK271" s="1656"/>
      <c r="EL271" s="1656"/>
      <c r="EM271" s="1656"/>
      <c r="EN271" s="1656"/>
      <c r="EO271" s="1656"/>
      <c r="EP271" s="1656"/>
      <c r="EQ271" s="1656"/>
      <c r="ER271" s="1656"/>
      <c r="ES271" s="1656"/>
      <c r="ET271" s="1656"/>
      <c r="EU271" s="1656"/>
      <c r="EV271" s="1656"/>
      <c r="EW271" s="1656"/>
      <c r="EX271" s="1656"/>
      <c r="EY271" s="1656"/>
      <c r="EZ271" s="1656"/>
      <c r="FA271" s="1656"/>
      <c r="FB271" s="1656"/>
      <c r="FC271" s="1656"/>
      <c r="FD271" s="1656"/>
      <c r="FE271" s="1656"/>
      <c r="FF271" s="1656"/>
    </row>
    <row r="273" spans="6:162" s="1658" customFormat="1" ht="15.75" customHeight="1">
      <c r="F273" s="1656"/>
      <c r="G273" s="1656"/>
      <c r="H273" s="1656"/>
      <c r="I273" s="1656"/>
      <c r="J273" s="1656"/>
      <c r="K273" s="1656"/>
      <c r="L273" s="1656"/>
      <c r="M273" s="1656"/>
      <c r="N273" s="1656"/>
      <c r="O273" s="1656"/>
      <c r="P273" s="1656"/>
      <c r="Q273" s="1656"/>
      <c r="R273" s="1656"/>
      <c r="S273" s="1656"/>
      <c r="T273" s="1656"/>
      <c r="U273" s="1656"/>
      <c r="V273" s="1656"/>
      <c r="W273" s="1656"/>
      <c r="X273" s="1656"/>
      <c r="Y273" s="1656"/>
      <c r="AA273" s="1656"/>
      <c r="AC273" s="1656"/>
      <c r="AD273" s="1656"/>
      <c r="AE273" s="1656"/>
      <c r="AF273" s="1656"/>
      <c r="AG273" s="1656"/>
      <c r="AH273" s="1657"/>
      <c r="AI273" s="1657"/>
      <c r="AJ273" s="1656"/>
      <c r="AK273" s="1656"/>
      <c r="AL273" s="1656"/>
      <c r="AM273" s="1656"/>
      <c r="AN273" s="1656"/>
      <c r="AO273" s="1656"/>
      <c r="AP273" s="1656"/>
      <c r="AQ273" s="1656"/>
      <c r="AR273" s="1656"/>
      <c r="AS273" s="1656"/>
      <c r="AT273" s="1656"/>
      <c r="AU273" s="1656"/>
      <c r="AV273" s="1656"/>
      <c r="AW273" s="1656"/>
      <c r="AX273" s="1656"/>
      <c r="AY273" s="1656"/>
      <c r="AZ273" s="1656"/>
      <c r="BA273" s="1656"/>
      <c r="BB273" s="1656"/>
      <c r="BC273" s="1656"/>
      <c r="BD273" s="1656"/>
      <c r="BE273" s="1656"/>
      <c r="BF273" s="1656"/>
      <c r="BG273" s="1656"/>
      <c r="BH273" s="1656"/>
      <c r="BI273" s="1656"/>
      <c r="BJ273" s="1656"/>
      <c r="BK273" s="1656"/>
      <c r="BL273" s="1656"/>
      <c r="BM273" s="1656"/>
      <c r="BN273" s="1656"/>
      <c r="BO273" s="1656"/>
      <c r="BP273" s="1656"/>
      <c r="BQ273" s="1656"/>
      <c r="BR273" s="1656"/>
      <c r="BS273" s="1656"/>
      <c r="BT273" s="1656"/>
      <c r="BU273" s="1656"/>
      <c r="BV273" s="1656"/>
      <c r="BW273" s="1656"/>
      <c r="BX273" s="1656"/>
      <c r="BY273" s="1656"/>
      <c r="BZ273" s="1656"/>
      <c r="CA273" s="1656"/>
      <c r="CB273" s="1656"/>
      <c r="CC273" s="1656"/>
      <c r="CD273" s="1656"/>
      <c r="CE273" s="1656"/>
      <c r="CF273" s="1656"/>
      <c r="CG273" s="1656"/>
      <c r="CH273" s="1656"/>
      <c r="CI273" s="1656"/>
      <c r="CJ273" s="1656"/>
      <c r="CK273" s="1656"/>
      <c r="CL273" s="1656"/>
      <c r="CM273" s="1656"/>
      <c r="CN273" s="1656"/>
      <c r="CO273" s="1656"/>
      <c r="CP273" s="1656"/>
      <c r="CQ273" s="1656"/>
      <c r="CR273" s="1656"/>
      <c r="CS273" s="1656"/>
      <c r="CT273" s="1656"/>
      <c r="CU273" s="1656"/>
      <c r="CV273" s="1656"/>
      <c r="CW273" s="1656"/>
      <c r="CX273" s="1656"/>
      <c r="CY273" s="1656"/>
      <c r="CZ273" s="1656"/>
      <c r="DA273" s="1656"/>
      <c r="DB273" s="1656"/>
      <c r="DC273" s="1656"/>
      <c r="DD273" s="1656"/>
      <c r="DE273" s="1656"/>
      <c r="DF273" s="1656"/>
      <c r="DG273" s="1656"/>
      <c r="DH273" s="1656"/>
      <c r="DI273" s="1656"/>
      <c r="DJ273" s="1656"/>
      <c r="DK273" s="1656"/>
      <c r="DL273" s="1656"/>
      <c r="DM273" s="1656"/>
      <c r="DN273" s="1656"/>
      <c r="DO273" s="1656"/>
      <c r="DP273" s="1656"/>
      <c r="DQ273" s="1656"/>
      <c r="DR273" s="1656"/>
      <c r="DS273" s="1656"/>
      <c r="DT273" s="1656"/>
      <c r="DU273" s="1656"/>
      <c r="DV273" s="1656"/>
      <c r="DW273" s="1656"/>
      <c r="DX273" s="1656"/>
      <c r="DY273" s="1656"/>
      <c r="DZ273" s="1656"/>
      <c r="EA273" s="1656"/>
      <c r="EB273" s="1656"/>
      <c r="EC273" s="1656"/>
      <c r="ED273" s="1656"/>
      <c r="EE273" s="1656"/>
      <c r="EF273" s="1656"/>
      <c r="EG273" s="1656"/>
      <c r="EH273" s="1656"/>
      <c r="EI273" s="1656"/>
      <c r="EJ273" s="1656"/>
      <c r="EK273" s="1656"/>
      <c r="EL273" s="1656"/>
      <c r="EM273" s="1656"/>
      <c r="EN273" s="1656"/>
      <c r="EO273" s="1656"/>
      <c r="EP273" s="1656"/>
      <c r="EQ273" s="1656"/>
      <c r="ER273" s="1656"/>
      <c r="ES273" s="1656"/>
      <c r="ET273" s="1656"/>
      <c r="EU273" s="1656"/>
      <c r="EV273" s="1656"/>
      <c r="EW273" s="1656"/>
      <c r="EX273" s="1656"/>
      <c r="EY273" s="1656"/>
      <c r="EZ273" s="1656"/>
      <c r="FA273" s="1656"/>
      <c r="FB273" s="1656"/>
      <c r="FC273" s="1656"/>
      <c r="FD273" s="1656"/>
      <c r="FE273" s="1656"/>
      <c r="FF273" s="1656"/>
    </row>
    <row r="275" spans="6:162" s="1658" customFormat="1" ht="15.75" customHeight="1">
      <c r="F275" s="1656"/>
      <c r="G275" s="1656"/>
      <c r="H275" s="1656"/>
      <c r="I275" s="1656"/>
      <c r="J275" s="1656"/>
      <c r="K275" s="1656"/>
      <c r="L275" s="1656"/>
      <c r="M275" s="1656"/>
      <c r="N275" s="1656"/>
      <c r="O275" s="1656"/>
      <c r="P275" s="1656"/>
      <c r="Q275" s="1656"/>
      <c r="R275" s="1656"/>
      <c r="S275" s="1656"/>
      <c r="T275" s="1656"/>
      <c r="U275" s="1656"/>
      <c r="V275" s="1656"/>
      <c r="W275" s="1656"/>
      <c r="X275" s="1656"/>
      <c r="Y275" s="1656"/>
      <c r="AA275" s="1656"/>
      <c r="AC275" s="1656"/>
      <c r="AD275" s="1656"/>
      <c r="AE275" s="1656"/>
      <c r="AF275" s="1656"/>
      <c r="AG275" s="1656"/>
      <c r="AH275" s="1657"/>
      <c r="AI275" s="1657"/>
      <c r="AJ275" s="1656"/>
      <c r="AK275" s="1656"/>
      <c r="AL275" s="1656"/>
      <c r="AM275" s="1656"/>
      <c r="AN275" s="1656"/>
      <c r="AO275" s="1656"/>
      <c r="AP275" s="1656"/>
      <c r="AQ275" s="1656"/>
      <c r="AR275" s="1656"/>
      <c r="AS275" s="1656"/>
      <c r="AT275" s="1656"/>
      <c r="AU275" s="1656"/>
      <c r="AV275" s="1656"/>
      <c r="AW275" s="1656"/>
      <c r="AX275" s="1656"/>
      <c r="AY275" s="1656"/>
      <c r="AZ275" s="1656"/>
      <c r="BA275" s="1656"/>
      <c r="BB275" s="1656"/>
      <c r="BC275" s="1656"/>
      <c r="BD275" s="1656"/>
      <c r="BE275" s="1656"/>
      <c r="BF275" s="1656"/>
      <c r="BG275" s="1656"/>
      <c r="BH275" s="1656"/>
      <c r="BI275" s="1656"/>
      <c r="BJ275" s="1656"/>
      <c r="BK275" s="1656"/>
      <c r="BL275" s="1656"/>
      <c r="BM275" s="1656"/>
      <c r="BN275" s="1656"/>
      <c r="BO275" s="1656"/>
      <c r="BP275" s="1656"/>
      <c r="BQ275" s="1656"/>
      <c r="BR275" s="1656"/>
      <c r="BS275" s="1656"/>
      <c r="BT275" s="1656"/>
      <c r="BU275" s="1656"/>
      <c r="BV275" s="1656"/>
      <c r="BW275" s="1656"/>
      <c r="BX275" s="1656"/>
      <c r="BY275" s="1656"/>
      <c r="BZ275" s="1656"/>
      <c r="CA275" s="1656"/>
      <c r="CB275" s="1656"/>
      <c r="CC275" s="1656"/>
      <c r="CD275" s="1656"/>
      <c r="CE275" s="1656"/>
      <c r="CF275" s="1656"/>
      <c r="CG275" s="1656"/>
      <c r="CH275" s="1656"/>
      <c r="CI275" s="1656"/>
      <c r="CJ275" s="1656"/>
      <c r="CK275" s="1656"/>
      <c r="CL275" s="1656"/>
      <c r="CM275" s="1656"/>
      <c r="CN275" s="1656"/>
      <c r="CO275" s="1656"/>
      <c r="CP275" s="1656"/>
      <c r="CQ275" s="1656"/>
      <c r="CR275" s="1656"/>
      <c r="CS275" s="1656"/>
      <c r="CT275" s="1656"/>
      <c r="CU275" s="1656"/>
      <c r="CV275" s="1656"/>
      <c r="CW275" s="1656"/>
      <c r="CX275" s="1656"/>
      <c r="CY275" s="1656"/>
      <c r="CZ275" s="1656"/>
      <c r="DA275" s="1656"/>
      <c r="DB275" s="1656"/>
      <c r="DC275" s="1656"/>
      <c r="DD275" s="1656"/>
      <c r="DE275" s="1656"/>
      <c r="DF275" s="1656"/>
      <c r="DG275" s="1656"/>
      <c r="DH275" s="1656"/>
      <c r="DI275" s="1656"/>
      <c r="DJ275" s="1656"/>
      <c r="DK275" s="1656"/>
      <c r="DL275" s="1656"/>
      <c r="DM275" s="1656"/>
      <c r="DN275" s="1656"/>
      <c r="DO275" s="1656"/>
      <c r="DP275" s="1656"/>
      <c r="DQ275" s="1656"/>
      <c r="DR275" s="1656"/>
      <c r="DS275" s="1656"/>
      <c r="DT275" s="1656"/>
      <c r="DU275" s="1656"/>
      <c r="DV275" s="1656"/>
      <c r="DW275" s="1656"/>
      <c r="DX275" s="1656"/>
      <c r="DY275" s="1656"/>
      <c r="DZ275" s="1656"/>
      <c r="EA275" s="1656"/>
      <c r="EB275" s="1656"/>
      <c r="EC275" s="1656"/>
      <c r="ED275" s="1656"/>
      <c r="EE275" s="1656"/>
      <c r="EF275" s="1656"/>
      <c r="EG275" s="1656"/>
      <c r="EH275" s="1656"/>
      <c r="EI275" s="1656"/>
      <c r="EJ275" s="1656"/>
      <c r="EK275" s="1656"/>
      <c r="EL275" s="1656"/>
      <c r="EM275" s="1656"/>
      <c r="EN275" s="1656"/>
      <c r="EO275" s="1656"/>
      <c r="EP275" s="1656"/>
      <c r="EQ275" s="1656"/>
      <c r="ER275" s="1656"/>
      <c r="ES275" s="1656"/>
      <c r="ET275" s="1656"/>
      <c r="EU275" s="1656"/>
      <c r="EV275" s="1656"/>
      <c r="EW275" s="1656"/>
      <c r="EX275" s="1656"/>
      <c r="EY275" s="1656"/>
      <c r="EZ275" s="1656"/>
      <c r="FA275" s="1656"/>
      <c r="FB275" s="1656"/>
      <c r="FC275" s="1656"/>
      <c r="FD275" s="1656"/>
      <c r="FE275" s="1656"/>
      <c r="FF275" s="1656"/>
    </row>
    <row r="277" spans="6:162" s="1658" customFormat="1" ht="15.75" customHeight="1">
      <c r="F277" s="1656"/>
      <c r="G277" s="1656"/>
      <c r="H277" s="1656"/>
      <c r="I277" s="1656"/>
      <c r="J277" s="1656"/>
      <c r="K277" s="1656"/>
      <c r="L277" s="1656"/>
      <c r="M277" s="1656"/>
      <c r="N277" s="1656"/>
      <c r="O277" s="1656"/>
      <c r="P277" s="1656"/>
      <c r="Q277" s="1656"/>
      <c r="R277" s="1656"/>
      <c r="S277" s="1656"/>
      <c r="T277" s="1656"/>
      <c r="U277" s="1656"/>
      <c r="V277" s="1656"/>
      <c r="W277" s="1656"/>
      <c r="X277" s="1656"/>
      <c r="Y277" s="1656"/>
      <c r="AA277" s="1656"/>
      <c r="AC277" s="1656"/>
      <c r="AD277" s="1656"/>
      <c r="AE277" s="1656"/>
      <c r="AF277" s="1656"/>
      <c r="AG277" s="1656"/>
      <c r="AH277" s="1657"/>
      <c r="AI277" s="1657"/>
      <c r="AJ277" s="1656"/>
      <c r="AK277" s="1656"/>
      <c r="AL277" s="1656"/>
      <c r="AM277" s="1656"/>
      <c r="AN277" s="1656"/>
      <c r="AO277" s="1656"/>
      <c r="AP277" s="1656"/>
      <c r="AQ277" s="1656"/>
      <c r="AR277" s="1656"/>
      <c r="AS277" s="1656"/>
      <c r="AT277" s="1656"/>
      <c r="AU277" s="1656"/>
      <c r="AV277" s="1656"/>
      <c r="AW277" s="1656"/>
      <c r="AX277" s="1656"/>
      <c r="AY277" s="1656"/>
      <c r="AZ277" s="1656"/>
      <c r="BA277" s="1656"/>
      <c r="BB277" s="1656"/>
      <c r="BC277" s="1656"/>
      <c r="BD277" s="1656"/>
      <c r="BE277" s="1656"/>
      <c r="BF277" s="1656"/>
      <c r="BG277" s="1656"/>
      <c r="BH277" s="1656"/>
      <c r="BI277" s="1656"/>
      <c r="BJ277" s="1656"/>
      <c r="BK277" s="1656"/>
      <c r="BL277" s="1656"/>
      <c r="BM277" s="1656"/>
      <c r="BN277" s="1656"/>
      <c r="BO277" s="1656"/>
      <c r="BP277" s="1656"/>
      <c r="BQ277" s="1656"/>
      <c r="BR277" s="1656"/>
      <c r="BS277" s="1656"/>
      <c r="BT277" s="1656"/>
      <c r="BU277" s="1656"/>
      <c r="BV277" s="1656"/>
      <c r="BW277" s="1656"/>
      <c r="BX277" s="1656"/>
      <c r="BY277" s="1656"/>
      <c r="BZ277" s="1656"/>
      <c r="CA277" s="1656"/>
      <c r="CB277" s="1656"/>
      <c r="CC277" s="1656"/>
      <c r="CD277" s="1656"/>
      <c r="CE277" s="1656"/>
      <c r="CF277" s="1656"/>
      <c r="CG277" s="1656"/>
      <c r="CH277" s="1656"/>
      <c r="CI277" s="1656"/>
      <c r="CJ277" s="1656"/>
      <c r="CK277" s="1656"/>
      <c r="CL277" s="1656"/>
      <c r="CM277" s="1656"/>
      <c r="CN277" s="1656"/>
      <c r="CO277" s="1656"/>
      <c r="CP277" s="1656"/>
      <c r="CQ277" s="1656"/>
      <c r="CR277" s="1656"/>
      <c r="CS277" s="1656"/>
      <c r="CT277" s="1656"/>
      <c r="CU277" s="1656"/>
      <c r="CV277" s="1656"/>
      <c r="CW277" s="1656"/>
      <c r="CX277" s="1656"/>
      <c r="CY277" s="1656"/>
      <c r="CZ277" s="1656"/>
      <c r="DA277" s="1656"/>
      <c r="DB277" s="1656"/>
      <c r="DC277" s="1656"/>
      <c r="DD277" s="1656"/>
      <c r="DE277" s="1656"/>
      <c r="DF277" s="1656"/>
      <c r="DG277" s="1656"/>
      <c r="DH277" s="1656"/>
      <c r="DI277" s="1656"/>
      <c r="DJ277" s="1656"/>
      <c r="DK277" s="1656"/>
      <c r="DL277" s="1656"/>
      <c r="DM277" s="1656"/>
      <c r="DN277" s="1656"/>
      <c r="DO277" s="1656"/>
      <c r="DP277" s="1656"/>
      <c r="DQ277" s="1656"/>
      <c r="DR277" s="1656"/>
      <c r="DS277" s="1656"/>
      <c r="DT277" s="1656"/>
      <c r="DU277" s="1656"/>
      <c r="DV277" s="1656"/>
      <c r="DW277" s="1656"/>
      <c r="DX277" s="1656"/>
      <c r="DY277" s="1656"/>
      <c r="DZ277" s="1656"/>
      <c r="EA277" s="1656"/>
      <c r="EB277" s="1656"/>
      <c r="EC277" s="1656"/>
      <c r="ED277" s="1656"/>
      <c r="EE277" s="1656"/>
      <c r="EF277" s="1656"/>
      <c r="EG277" s="1656"/>
      <c r="EH277" s="1656"/>
      <c r="EI277" s="1656"/>
      <c r="EJ277" s="1656"/>
      <c r="EK277" s="1656"/>
      <c r="EL277" s="1656"/>
      <c r="EM277" s="1656"/>
      <c r="EN277" s="1656"/>
      <c r="EO277" s="1656"/>
      <c r="EP277" s="1656"/>
      <c r="EQ277" s="1656"/>
      <c r="ER277" s="1656"/>
      <c r="ES277" s="1656"/>
      <c r="ET277" s="1656"/>
      <c r="EU277" s="1656"/>
      <c r="EV277" s="1656"/>
      <c r="EW277" s="1656"/>
      <c r="EX277" s="1656"/>
      <c r="EY277" s="1656"/>
      <c r="EZ277" s="1656"/>
      <c r="FA277" s="1656"/>
      <c r="FB277" s="1656"/>
      <c r="FC277" s="1656"/>
      <c r="FD277" s="1656"/>
      <c r="FE277" s="1656"/>
      <c r="FF277" s="1656"/>
    </row>
    <row r="279" spans="6:162" s="1658" customFormat="1" ht="15.75" customHeight="1">
      <c r="F279" s="1656"/>
      <c r="G279" s="1656"/>
      <c r="H279" s="1656"/>
      <c r="I279" s="1656"/>
      <c r="J279" s="1656"/>
      <c r="K279" s="1656"/>
      <c r="L279" s="1656"/>
      <c r="M279" s="1656"/>
      <c r="N279" s="1656"/>
      <c r="O279" s="1656"/>
      <c r="P279" s="1656"/>
      <c r="Q279" s="1656"/>
      <c r="R279" s="1656"/>
      <c r="S279" s="1656"/>
      <c r="T279" s="1656"/>
      <c r="U279" s="1656"/>
      <c r="V279" s="1656"/>
      <c r="W279" s="1656"/>
      <c r="X279" s="1656"/>
      <c r="Y279" s="1656"/>
      <c r="AA279" s="1656"/>
      <c r="AC279" s="1656"/>
      <c r="AD279" s="1656"/>
      <c r="AE279" s="1656"/>
      <c r="AF279" s="1656"/>
      <c r="AG279" s="1656"/>
      <c r="AH279" s="1657"/>
      <c r="AI279" s="1657"/>
      <c r="AJ279" s="1656"/>
      <c r="AK279" s="1656"/>
      <c r="AL279" s="1656"/>
      <c r="AM279" s="1656"/>
      <c r="AN279" s="1656"/>
      <c r="AO279" s="1656"/>
      <c r="AP279" s="1656"/>
      <c r="AQ279" s="1656"/>
      <c r="AR279" s="1656"/>
      <c r="AS279" s="1656"/>
      <c r="AT279" s="1656"/>
      <c r="AU279" s="1656"/>
      <c r="AV279" s="1656"/>
      <c r="AW279" s="1656"/>
      <c r="AX279" s="1656"/>
      <c r="AY279" s="1656"/>
      <c r="AZ279" s="1656"/>
      <c r="BA279" s="1656"/>
      <c r="BB279" s="1656"/>
      <c r="BC279" s="1656"/>
      <c r="BD279" s="1656"/>
      <c r="BE279" s="1656"/>
      <c r="BF279" s="1656"/>
      <c r="BG279" s="1656"/>
      <c r="BH279" s="1656"/>
      <c r="BI279" s="1656"/>
      <c r="BJ279" s="1656"/>
      <c r="BK279" s="1656"/>
      <c r="BL279" s="1656"/>
      <c r="BM279" s="1656"/>
      <c r="BN279" s="1656"/>
      <c r="BO279" s="1656"/>
      <c r="BP279" s="1656"/>
      <c r="BQ279" s="1656"/>
      <c r="BR279" s="1656"/>
      <c r="BS279" s="1656"/>
      <c r="BT279" s="1656"/>
      <c r="BU279" s="1656"/>
      <c r="BV279" s="1656"/>
      <c r="BW279" s="1656"/>
      <c r="BX279" s="1656"/>
      <c r="BY279" s="1656"/>
      <c r="BZ279" s="1656"/>
      <c r="CA279" s="1656"/>
      <c r="CB279" s="1656"/>
      <c r="CC279" s="1656"/>
      <c r="CD279" s="1656"/>
      <c r="CE279" s="1656"/>
      <c r="CF279" s="1656"/>
      <c r="CG279" s="1656"/>
      <c r="CH279" s="1656"/>
      <c r="CI279" s="1656"/>
      <c r="CJ279" s="1656"/>
      <c r="CK279" s="1656"/>
      <c r="CL279" s="1656"/>
      <c r="CM279" s="1656"/>
      <c r="CN279" s="1656"/>
      <c r="CO279" s="1656"/>
      <c r="CP279" s="1656"/>
      <c r="CQ279" s="1656"/>
      <c r="CR279" s="1656"/>
      <c r="CS279" s="1656"/>
      <c r="CT279" s="1656"/>
      <c r="CU279" s="1656"/>
      <c r="CV279" s="1656"/>
      <c r="CW279" s="1656"/>
      <c r="CX279" s="1656"/>
      <c r="CY279" s="1656"/>
      <c r="CZ279" s="1656"/>
      <c r="DA279" s="1656"/>
      <c r="DB279" s="1656"/>
      <c r="DC279" s="1656"/>
      <c r="DD279" s="1656"/>
      <c r="DE279" s="1656"/>
      <c r="DF279" s="1656"/>
      <c r="DG279" s="1656"/>
      <c r="DH279" s="1656"/>
      <c r="DI279" s="1656"/>
      <c r="DJ279" s="1656"/>
      <c r="DK279" s="1656"/>
      <c r="DL279" s="1656"/>
      <c r="DM279" s="1656"/>
      <c r="DN279" s="1656"/>
      <c r="DO279" s="1656"/>
      <c r="DP279" s="1656"/>
      <c r="DQ279" s="1656"/>
      <c r="DR279" s="1656"/>
      <c r="DS279" s="1656"/>
      <c r="DT279" s="1656"/>
      <c r="DU279" s="1656"/>
      <c r="DV279" s="1656"/>
      <c r="DW279" s="1656"/>
      <c r="DX279" s="1656"/>
      <c r="DY279" s="1656"/>
      <c r="DZ279" s="1656"/>
      <c r="EA279" s="1656"/>
      <c r="EB279" s="1656"/>
      <c r="EC279" s="1656"/>
      <c r="ED279" s="1656"/>
      <c r="EE279" s="1656"/>
      <c r="EF279" s="1656"/>
      <c r="EG279" s="1656"/>
      <c r="EH279" s="1656"/>
      <c r="EI279" s="1656"/>
      <c r="EJ279" s="1656"/>
      <c r="EK279" s="1656"/>
      <c r="EL279" s="1656"/>
      <c r="EM279" s="1656"/>
      <c r="EN279" s="1656"/>
      <c r="EO279" s="1656"/>
      <c r="EP279" s="1656"/>
      <c r="EQ279" s="1656"/>
      <c r="ER279" s="1656"/>
      <c r="ES279" s="1656"/>
      <c r="ET279" s="1656"/>
      <c r="EU279" s="1656"/>
      <c r="EV279" s="1656"/>
      <c r="EW279" s="1656"/>
      <c r="EX279" s="1656"/>
      <c r="EY279" s="1656"/>
      <c r="EZ279" s="1656"/>
      <c r="FA279" s="1656"/>
      <c r="FB279" s="1656"/>
      <c r="FC279" s="1656"/>
      <c r="FD279" s="1656"/>
      <c r="FE279" s="1656"/>
      <c r="FF279" s="1656"/>
    </row>
    <row r="281" spans="6:162" s="1658" customFormat="1" ht="15.75" customHeight="1">
      <c r="F281" s="1656"/>
      <c r="G281" s="1656"/>
      <c r="H281" s="1656"/>
      <c r="I281" s="1656"/>
      <c r="J281" s="1656"/>
      <c r="K281" s="1656"/>
      <c r="L281" s="1656"/>
      <c r="M281" s="1656"/>
      <c r="N281" s="1656"/>
      <c r="O281" s="1656"/>
      <c r="P281" s="1656"/>
      <c r="Q281" s="1656"/>
      <c r="R281" s="1656"/>
      <c r="S281" s="1656"/>
      <c r="T281" s="1656"/>
      <c r="U281" s="1656"/>
      <c r="V281" s="1656"/>
      <c r="W281" s="1656"/>
      <c r="X281" s="1656"/>
      <c r="Y281" s="1656"/>
      <c r="AA281" s="1656"/>
      <c r="AC281" s="1656"/>
      <c r="AD281" s="1656"/>
      <c r="AE281" s="1656"/>
      <c r="AF281" s="1656"/>
      <c r="AG281" s="1656"/>
      <c r="AH281" s="1657"/>
      <c r="AI281" s="1657"/>
      <c r="AJ281" s="1656"/>
      <c r="AK281" s="1656"/>
      <c r="AL281" s="1656"/>
      <c r="AM281" s="1656"/>
      <c r="AN281" s="1656"/>
      <c r="AO281" s="1656"/>
      <c r="AP281" s="1656"/>
      <c r="AQ281" s="1656"/>
      <c r="AR281" s="1656"/>
      <c r="AS281" s="1656"/>
      <c r="AT281" s="1656"/>
      <c r="AU281" s="1656"/>
      <c r="AV281" s="1656"/>
      <c r="AW281" s="1656"/>
      <c r="AX281" s="1656"/>
      <c r="AY281" s="1656"/>
      <c r="AZ281" s="1656"/>
      <c r="BA281" s="1656"/>
      <c r="BB281" s="1656"/>
      <c r="BC281" s="1656"/>
      <c r="BD281" s="1656"/>
      <c r="BE281" s="1656"/>
      <c r="BF281" s="1656"/>
      <c r="BG281" s="1656"/>
      <c r="BH281" s="1656"/>
      <c r="BI281" s="1656"/>
      <c r="BJ281" s="1656"/>
      <c r="BK281" s="1656"/>
      <c r="BL281" s="1656"/>
      <c r="BM281" s="1656"/>
      <c r="BN281" s="1656"/>
      <c r="BO281" s="1656"/>
      <c r="BP281" s="1656"/>
      <c r="BQ281" s="1656"/>
      <c r="BR281" s="1656"/>
      <c r="BS281" s="1656"/>
      <c r="BT281" s="1656"/>
      <c r="BU281" s="1656"/>
      <c r="BV281" s="1656"/>
      <c r="BW281" s="1656"/>
      <c r="BX281" s="1656"/>
      <c r="BY281" s="1656"/>
      <c r="BZ281" s="1656"/>
      <c r="CA281" s="1656"/>
      <c r="CB281" s="1656"/>
      <c r="CC281" s="1656"/>
      <c r="CD281" s="1656"/>
      <c r="CE281" s="1656"/>
      <c r="CF281" s="1656"/>
      <c r="CG281" s="1656"/>
      <c r="CH281" s="1656"/>
      <c r="CI281" s="1656"/>
      <c r="CJ281" s="1656"/>
      <c r="CK281" s="1656"/>
      <c r="CL281" s="1656"/>
      <c r="CM281" s="1656"/>
      <c r="CN281" s="1656"/>
      <c r="CO281" s="1656"/>
      <c r="CP281" s="1656"/>
      <c r="CQ281" s="1656"/>
      <c r="CR281" s="1656"/>
      <c r="CS281" s="1656"/>
      <c r="CT281" s="1656"/>
      <c r="CU281" s="1656"/>
      <c r="CV281" s="1656"/>
      <c r="CW281" s="1656"/>
      <c r="CX281" s="1656"/>
      <c r="CY281" s="1656"/>
      <c r="CZ281" s="1656"/>
      <c r="DA281" s="1656"/>
      <c r="DB281" s="1656"/>
      <c r="DC281" s="1656"/>
      <c r="DD281" s="1656"/>
      <c r="DE281" s="1656"/>
      <c r="DF281" s="1656"/>
      <c r="DG281" s="1656"/>
      <c r="DH281" s="1656"/>
      <c r="DI281" s="1656"/>
      <c r="DJ281" s="1656"/>
      <c r="DK281" s="1656"/>
      <c r="DL281" s="1656"/>
      <c r="DM281" s="1656"/>
      <c r="DN281" s="1656"/>
      <c r="DO281" s="1656"/>
      <c r="DP281" s="1656"/>
      <c r="DQ281" s="1656"/>
      <c r="DR281" s="1656"/>
      <c r="DS281" s="1656"/>
      <c r="DT281" s="1656"/>
      <c r="DU281" s="1656"/>
      <c r="DV281" s="1656"/>
      <c r="DW281" s="1656"/>
      <c r="DX281" s="1656"/>
      <c r="DY281" s="1656"/>
      <c r="DZ281" s="1656"/>
      <c r="EA281" s="1656"/>
      <c r="EB281" s="1656"/>
      <c r="EC281" s="1656"/>
      <c r="ED281" s="1656"/>
      <c r="EE281" s="1656"/>
      <c r="EF281" s="1656"/>
      <c r="EG281" s="1656"/>
      <c r="EH281" s="1656"/>
      <c r="EI281" s="1656"/>
      <c r="EJ281" s="1656"/>
      <c r="EK281" s="1656"/>
      <c r="EL281" s="1656"/>
      <c r="EM281" s="1656"/>
      <c r="EN281" s="1656"/>
      <c r="EO281" s="1656"/>
      <c r="EP281" s="1656"/>
      <c r="EQ281" s="1656"/>
      <c r="ER281" s="1656"/>
      <c r="ES281" s="1656"/>
      <c r="ET281" s="1656"/>
      <c r="EU281" s="1656"/>
      <c r="EV281" s="1656"/>
      <c r="EW281" s="1656"/>
      <c r="EX281" s="1656"/>
      <c r="EY281" s="1656"/>
      <c r="EZ281" s="1656"/>
      <c r="FA281" s="1656"/>
      <c r="FB281" s="1656"/>
      <c r="FC281" s="1656"/>
      <c r="FD281" s="1656"/>
      <c r="FE281" s="1656"/>
      <c r="FF281" s="1656"/>
    </row>
    <row r="283" spans="6:162" s="1658" customFormat="1" ht="15.75" customHeight="1">
      <c r="F283" s="1656"/>
      <c r="G283" s="1656"/>
      <c r="H283" s="1656"/>
      <c r="I283" s="1656"/>
      <c r="J283" s="1656"/>
      <c r="K283" s="1656"/>
      <c r="L283" s="1656"/>
      <c r="M283" s="1656"/>
      <c r="N283" s="1656"/>
      <c r="O283" s="1656"/>
      <c r="P283" s="1656"/>
      <c r="Q283" s="1656"/>
      <c r="R283" s="1656"/>
      <c r="S283" s="1656"/>
      <c r="T283" s="1656"/>
      <c r="U283" s="1656"/>
      <c r="V283" s="1656"/>
      <c r="W283" s="1656"/>
      <c r="X283" s="1656"/>
      <c r="Y283" s="1656"/>
      <c r="AA283" s="1656"/>
      <c r="AC283" s="1656"/>
      <c r="AD283" s="1656"/>
      <c r="AE283" s="1656"/>
      <c r="AF283" s="1656"/>
      <c r="AG283" s="1656"/>
      <c r="AH283" s="1657"/>
      <c r="AI283" s="1657"/>
      <c r="AJ283" s="1656"/>
      <c r="AK283" s="1656"/>
      <c r="AL283" s="1656"/>
      <c r="AM283" s="1656"/>
      <c r="AN283" s="1656"/>
      <c r="AO283" s="1656"/>
      <c r="AP283" s="1656"/>
      <c r="AQ283" s="1656"/>
      <c r="AR283" s="1656"/>
      <c r="AS283" s="1656"/>
      <c r="AT283" s="1656"/>
      <c r="AU283" s="1656"/>
      <c r="AV283" s="1656"/>
      <c r="AW283" s="1656"/>
      <c r="AX283" s="1656"/>
      <c r="AY283" s="1656"/>
      <c r="AZ283" s="1656"/>
      <c r="BA283" s="1656"/>
      <c r="BB283" s="1656"/>
      <c r="BC283" s="1656"/>
      <c r="BD283" s="1656"/>
      <c r="BE283" s="1656"/>
      <c r="BF283" s="1656"/>
      <c r="BG283" s="1656"/>
      <c r="BH283" s="1656"/>
      <c r="BI283" s="1656"/>
      <c r="BJ283" s="1656"/>
      <c r="BK283" s="1656"/>
      <c r="BL283" s="1656"/>
      <c r="BM283" s="1656"/>
      <c r="BN283" s="1656"/>
      <c r="BO283" s="1656"/>
      <c r="BP283" s="1656"/>
      <c r="BQ283" s="1656"/>
      <c r="BR283" s="1656"/>
      <c r="BS283" s="1656"/>
      <c r="BT283" s="1656"/>
      <c r="BU283" s="1656"/>
      <c r="BV283" s="1656"/>
      <c r="BW283" s="1656"/>
      <c r="BX283" s="1656"/>
      <c r="BY283" s="1656"/>
      <c r="BZ283" s="1656"/>
      <c r="CA283" s="1656"/>
      <c r="CB283" s="1656"/>
      <c r="CC283" s="1656"/>
      <c r="CD283" s="1656"/>
      <c r="CE283" s="1656"/>
      <c r="CF283" s="1656"/>
      <c r="CG283" s="1656"/>
      <c r="CH283" s="1656"/>
      <c r="CI283" s="1656"/>
      <c r="CJ283" s="1656"/>
      <c r="CK283" s="1656"/>
      <c r="CL283" s="1656"/>
      <c r="CM283" s="1656"/>
      <c r="CN283" s="1656"/>
      <c r="CO283" s="1656"/>
      <c r="CP283" s="1656"/>
      <c r="CQ283" s="1656"/>
      <c r="CR283" s="1656"/>
      <c r="CS283" s="1656"/>
      <c r="CT283" s="1656"/>
      <c r="CU283" s="1656"/>
      <c r="CV283" s="1656"/>
      <c r="CW283" s="1656"/>
      <c r="CX283" s="1656"/>
      <c r="CY283" s="1656"/>
      <c r="CZ283" s="1656"/>
      <c r="DA283" s="1656"/>
      <c r="DB283" s="1656"/>
      <c r="DC283" s="1656"/>
      <c r="DD283" s="1656"/>
      <c r="DE283" s="1656"/>
      <c r="DF283" s="1656"/>
      <c r="DG283" s="1656"/>
      <c r="DH283" s="1656"/>
      <c r="DI283" s="1656"/>
      <c r="DJ283" s="1656"/>
      <c r="DK283" s="1656"/>
      <c r="DL283" s="1656"/>
      <c r="DM283" s="1656"/>
      <c r="DN283" s="1656"/>
      <c r="DO283" s="1656"/>
      <c r="DP283" s="1656"/>
      <c r="DQ283" s="1656"/>
      <c r="DR283" s="1656"/>
      <c r="DS283" s="1656"/>
      <c r="DT283" s="1656"/>
      <c r="DU283" s="1656"/>
      <c r="DV283" s="1656"/>
      <c r="DW283" s="1656"/>
      <c r="DX283" s="1656"/>
      <c r="DY283" s="1656"/>
      <c r="DZ283" s="1656"/>
      <c r="EA283" s="1656"/>
      <c r="EB283" s="1656"/>
      <c r="EC283" s="1656"/>
      <c r="ED283" s="1656"/>
      <c r="EE283" s="1656"/>
      <c r="EF283" s="1656"/>
      <c r="EG283" s="1656"/>
      <c r="EH283" s="1656"/>
      <c r="EI283" s="1656"/>
      <c r="EJ283" s="1656"/>
      <c r="EK283" s="1656"/>
      <c r="EL283" s="1656"/>
      <c r="EM283" s="1656"/>
      <c r="EN283" s="1656"/>
      <c r="EO283" s="1656"/>
      <c r="EP283" s="1656"/>
      <c r="EQ283" s="1656"/>
      <c r="ER283" s="1656"/>
      <c r="ES283" s="1656"/>
      <c r="ET283" s="1656"/>
      <c r="EU283" s="1656"/>
      <c r="EV283" s="1656"/>
      <c r="EW283" s="1656"/>
      <c r="EX283" s="1656"/>
      <c r="EY283" s="1656"/>
      <c r="EZ283" s="1656"/>
      <c r="FA283" s="1656"/>
      <c r="FB283" s="1656"/>
      <c r="FC283" s="1656"/>
      <c r="FD283" s="1656"/>
      <c r="FE283" s="1656"/>
      <c r="FF283" s="1656"/>
    </row>
    <row r="285" spans="6:162" s="1658" customFormat="1" ht="15.75" customHeight="1">
      <c r="F285" s="1656"/>
      <c r="G285" s="1656"/>
      <c r="H285" s="1656"/>
      <c r="I285" s="1656"/>
      <c r="J285" s="1656"/>
      <c r="K285" s="1656"/>
      <c r="L285" s="1656"/>
      <c r="M285" s="1656"/>
      <c r="N285" s="1656"/>
      <c r="O285" s="1656"/>
      <c r="P285" s="1656"/>
      <c r="Q285" s="1656"/>
      <c r="R285" s="1656"/>
      <c r="S285" s="1656"/>
      <c r="T285" s="1656"/>
      <c r="U285" s="1656"/>
      <c r="V285" s="1656"/>
      <c r="W285" s="1656"/>
      <c r="X285" s="1656"/>
      <c r="Y285" s="1656"/>
      <c r="AA285" s="1656"/>
      <c r="AC285" s="1656"/>
      <c r="AD285" s="1656"/>
      <c r="AE285" s="1656"/>
      <c r="AF285" s="1656"/>
      <c r="AG285" s="1656"/>
      <c r="AH285" s="1657"/>
      <c r="AI285" s="1657"/>
      <c r="AJ285" s="1656"/>
      <c r="AK285" s="1656"/>
      <c r="AL285" s="1656"/>
      <c r="AM285" s="1656"/>
      <c r="AN285" s="1656"/>
      <c r="AO285" s="1656"/>
      <c r="AP285" s="1656"/>
      <c r="AQ285" s="1656"/>
      <c r="AR285" s="1656"/>
      <c r="AS285" s="1656"/>
      <c r="AT285" s="1656"/>
      <c r="AU285" s="1656"/>
      <c r="AV285" s="1656"/>
      <c r="AW285" s="1656"/>
      <c r="AX285" s="1656"/>
      <c r="AY285" s="1656"/>
      <c r="AZ285" s="1656"/>
      <c r="BA285" s="1656"/>
      <c r="BB285" s="1656"/>
      <c r="BC285" s="1656"/>
      <c r="BD285" s="1656"/>
      <c r="BE285" s="1656"/>
      <c r="BF285" s="1656"/>
      <c r="BG285" s="1656"/>
      <c r="BH285" s="1656"/>
      <c r="BI285" s="1656"/>
      <c r="BJ285" s="1656"/>
      <c r="BK285" s="1656"/>
      <c r="BL285" s="1656"/>
      <c r="BM285" s="1656"/>
      <c r="BN285" s="1656"/>
      <c r="BO285" s="1656"/>
      <c r="BP285" s="1656"/>
      <c r="BQ285" s="1656"/>
      <c r="BR285" s="1656"/>
      <c r="BS285" s="1656"/>
      <c r="BT285" s="1656"/>
      <c r="BU285" s="1656"/>
      <c r="BV285" s="1656"/>
      <c r="BW285" s="1656"/>
      <c r="BX285" s="1656"/>
      <c r="BY285" s="1656"/>
      <c r="BZ285" s="1656"/>
      <c r="CA285" s="1656"/>
      <c r="CB285" s="1656"/>
      <c r="CC285" s="1656"/>
      <c r="CD285" s="1656"/>
      <c r="CE285" s="1656"/>
      <c r="CF285" s="1656"/>
      <c r="CG285" s="1656"/>
      <c r="CH285" s="1656"/>
      <c r="CI285" s="1656"/>
      <c r="CJ285" s="1656"/>
      <c r="CK285" s="1656"/>
      <c r="CL285" s="1656"/>
      <c r="CM285" s="1656"/>
      <c r="CN285" s="1656"/>
      <c r="CO285" s="1656"/>
      <c r="CP285" s="1656"/>
      <c r="CQ285" s="1656"/>
      <c r="CR285" s="1656"/>
      <c r="CS285" s="1656"/>
      <c r="CT285" s="1656"/>
      <c r="CU285" s="1656"/>
      <c r="CV285" s="1656"/>
      <c r="CW285" s="1656"/>
      <c r="CX285" s="1656"/>
      <c r="CY285" s="1656"/>
      <c r="CZ285" s="1656"/>
      <c r="DA285" s="1656"/>
      <c r="DB285" s="1656"/>
      <c r="DC285" s="1656"/>
      <c r="DD285" s="1656"/>
      <c r="DE285" s="1656"/>
      <c r="DF285" s="1656"/>
      <c r="DG285" s="1656"/>
      <c r="DH285" s="1656"/>
      <c r="DI285" s="1656"/>
      <c r="DJ285" s="1656"/>
      <c r="DK285" s="1656"/>
      <c r="DL285" s="1656"/>
      <c r="DM285" s="1656"/>
      <c r="DN285" s="1656"/>
      <c r="DO285" s="1656"/>
      <c r="DP285" s="1656"/>
      <c r="DQ285" s="1656"/>
      <c r="DR285" s="1656"/>
      <c r="DS285" s="1656"/>
      <c r="DT285" s="1656"/>
      <c r="DU285" s="1656"/>
      <c r="DV285" s="1656"/>
      <c r="DW285" s="1656"/>
      <c r="DX285" s="1656"/>
      <c r="DY285" s="1656"/>
      <c r="DZ285" s="1656"/>
      <c r="EA285" s="1656"/>
      <c r="EB285" s="1656"/>
      <c r="EC285" s="1656"/>
      <c r="ED285" s="1656"/>
      <c r="EE285" s="1656"/>
      <c r="EF285" s="1656"/>
      <c r="EG285" s="1656"/>
      <c r="EH285" s="1656"/>
      <c r="EI285" s="1656"/>
      <c r="EJ285" s="1656"/>
      <c r="EK285" s="1656"/>
      <c r="EL285" s="1656"/>
      <c r="EM285" s="1656"/>
      <c r="EN285" s="1656"/>
      <c r="EO285" s="1656"/>
      <c r="EP285" s="1656"/>
      <c r="EQ285" s="1656"/>
      <c r="ER285" s="1656"/>
      <c r="ES285" s="1656"/>
      <c r="ET285" s="1656"/>
      <c r="EU285" s="1656"/>
      <c r="EV285" s="1656"/>
      <c r="EW285" s="1656"/>
      <c r="EX285" s="1656"/>
      <c r="EY285" s="1656"/>
      <c r="EZ285" s="1656"/>
      <c r="FA285" s="1656"/>
      <c r="FB285" s="1656"/>
      <c r="FC285" s="1656"/>
      <c r="FD285" s="1656"/>
      <c r="FE285" s="1656"/>
      <c r="FF285" s="1656"/>
    </row>
    <row r="287" spans="6:162" s="1658" customFormat="1" ht="15.75" customHeight="1">
      <c r="F287" s="1656"/>
      <c r="G287" s="1656"/>
      <c r="H287" s="1656"/>
      <c r="I287" s="1656"/>
      <c r="J287" s="1656"/>
      <c r="K287" s="1656"/>
      <c r="L287" s="1656"/>
      <c r="M287" s="1656"/>
      <c r="N287" s="1656"/>
      <c r="O287" s="1656"/>
      <c r="P287" s="1656"/>
      <c r="Q287" s="1656"/>
      <c r="R287" s="1656"/>
      <c r="S287" s="1656"/>
      <c r="T287" s="1656"/>
      <c r="U287" s="1656"/>
      <c r="V287" s="1656"/>
      <c r="W287" s="1656"/>
      <c r="X287" s="1656"/>
      <c r="Y287" s="1656"/>
      <c r="AA287" s="1656"/>
      <c r="AC287" s="1656"/>
      <c r="AD287" s="1656"/>
      <c r="AE287" s="1656"/>
      <c r="AF287" s="1656"/>
      <c r="AG287" s="1656"/>
      <c r="AH287" s="1657"/>
      <c r="AI287" s="1657"/>
      <c r="AJ287" s="1656"/>
      <c r="AK287" s="1656"/>
      <c r="AL287" s="1656"/>
      <c r="AM287" s="1656"/>
      <c r="AN287" s="1656"/>
      <c r="AO287" s="1656"/>
      <c r="AP287" s="1656"/>
      <c r="AQ287" s="1656"/>
      <c r="AR287" s="1656"/>
      <c r="AS287" s="1656"/>
      <c r="AT287" s="1656"/>
      <c r="AU287" s="1656"/>
      <c r="AV287" s="1656"/>
      <c r="AW287" s="1656"/>
      <c r="AX287" s="1656"/>
      <c r="AY287" s="1656"/>
      <c r="AZ287" s="1656"/>
      <c r="BA287" s="1656"/>
      <c r="BB287" s="1656"/>
      <c r="BC287" s="1656"/>
      <c r="BD287" s="1656"/>
      <c r="BE287" s="1656"/>
      <c r="BF287" s="1656"/>
      <c r="BG287" s="1656"/>
      <c r="BH287" s="1656"/>
      <c r="BI287" s="1656"/>
      <c r="BJ287" s="1656"/>
      <c r="BK287" s="1656"/>
      <c r="BL287" s="1656"/>
      <c r="BM287" s="1656"/>
      <c r="BN287" s="1656"/>
      <c r="BO287" s="1656"/>
      <c r="BP287" s="1656"/>
      <c r="BQ287" s="1656"/>
      <c r="BR287" s="1656"/>
      <c r="BS287" s="1656"/>
      <c r="BT287" s="1656"/>
      <c r="BU287" s="1656"/>
      <c r="BV287" s="1656"/>
      <c r="BW287" s="1656"/>
      <c r="BX287" s="1656"/>
      <c r="BY287" s="1656"/>
      <c r="BZ287" s="1656"/>
      <c r="CA287" s="1656"/>
      <c r="CB287" s="1656"/>
      <c r="CC287" s="1656"/>
      <c r="CD287" s="1656"/>
      <c r="CE287" s="1656"/>
      <c r="CF287" s="1656"/>
      <c r="CG287" s="1656"/>
      <c r="CH287" s="1656"/>
      <c r="CI287" s="1656"/>
      <c r="CJ287" s="1656"/>
      <c r="CK287" s="1656"/>
      <c r="CL287" s="1656"/>
      <c r="CM287" s="1656"/>
      <c r="CN287" s="1656"/>
      <c r="CO287" s="1656"/>
      <c r="CP287" s="1656"/>
      <c r="CQ287" s="1656"/>
      <c r="CR287" s="1656"/>
      <c r="CS287" s="1656"/>
      <c r="CT287" s="1656"/>
      <c r="CU287" s="1656"/>
      <c r="CV287" s="1656"/>
      <c r="CW287" s="1656"/>
      <c r="CX287" s="1656"/>
      <c r="CY287" s="1656"/>
      <c r="CZ287" s="1656"/>
      <c r="DA287" s="1656"/>
      <c r="DB287" s="1656"/>
      <c r="DC287" s="1656"/>
      <c r="DD287" s="1656"/>
      <c r="DE287" s="1656"/>
      <c r="DF287" s="1656"/>
      <c r="DG287" s="1656"/>
      <c r="DH287" s="1656"/>
      <c r="DI287" s="1656"/>
      <c r="DJ287" s="1656"/>
      <c r="DK287" s="1656"/>
      <c r="DL287" s="1656"/>
      <c r="DM287" s="1656"/>
      <c r="DN287" s="1656"/>
      <c r="DO287" s="1656"/>
      <c r="DP287" s="1656"/>
      <c r="DQ287" s="1656"/>
      <c r="DR287" s="1656"/>
      <c r="DS287" s="1656"/>
      <c r="DT287" s="1656"/>
      <c r="DU287" s="1656"/>
      <c r="DV287" s="1656"/>
      <c r="DW287" s="1656"/>
      <c r="DX287" s="1656"/>
      <c r="DY287" s="1656"/>
      <c r="DZ287" s="1656"/>
      <c r="EA287" s="1656"/>
      <c r="EB287" s="1656"/>
      <c r="EC287" s="1656"/>
      <c r="ED287" s="1656"/>
      <c r="EE287" s="1656"/>
      <c r="EF287" s="1656"/>
      <c r="EG287" s="1656"/>
      <c r="EH287" s="1656"/>
      <c r="EI287" s="1656"/>
      <c r="EJ287" s="1656"/>
      <c r="EK287" s="1656"/>
      <c r="EL287" s="1656"/>
      <c r="EM287" s="1656"/>
      <c r="EN287" s="1656"/>
      <c r="EO287" s="1656"/>
      <c r="EP287" s="1656"/>
      <c r="EQ287" s="1656"/>
      <c r="ER287" s="1656"/>
      <c r="ES287" s="1656"/>
      <c r="ET287" s="1656"/>
      <c r="EU287" s="1656"/>
      <c r="EV287" s="1656"/>
      <c r="EW287" s="1656"/>
      <c r="EX287" s="1656"/>
      <c r="EY287" s="1656"/>
      <c r="EZ287" s="1656"/>
      <c r="FA287" s="1656"/>
      <c r="FB287" s="1656"/>
      <c r="FC287" s="1656"/>
      <c r="FD287" s="1656"/>
      <c r="FE287" s="1656"/>
      <c r="FF287" s="1656"/>
    </row>
    <row r="289" spans="6:162" s="1658" customFormat="1" ht="15.75" customHeight="1">
      <c r="F289" s="1656"/>
      <c r="G289" s="1656"/>
      <c r="H289" s="1656"/>
      <c r="I289" s="1656"/>
      <c r="J289" s="1656"/>
      <c r="K289" s="1656"/>
      <c r="L289" s="1656"/>
      <c r="M289" s="1656"/>
      <c r="N289" s="1656"/>
      <c r="O289" s="1656"/>
      <c r="P289" s="1656"/>
      <c r="Q289" s="1656"/>
      <c r="R289" s="1656"/>
      <c r="S289" s="1656"/>
      <c r="T289" s="1656"/>
      <c r="U289" s="1656"/>
      <c r="V289" s="1656"/>
      <c r="W289" s="1656"/>
      <c r="X289" s="1656"/>
      <c r="Y289" s="1656"/>
      <c r="AA289" s="1656"/>
      <c r="AC289" s="1656"/>
      <c r="AD289" s="1656"/>
      <c r="AE289" s="1656"/>
      <c r="AF289" s="1656"/>
      <c r="AG289" s="1656"/>
      <c r="AH289" s="1657"/>
      <c r="AI289" s="1657"/>
      <c r="AJ289" s="1656"/>
      <c r="AK289" s="1656"/>
      <c r="AL289" s="1656"/>
      <c r="AM289" s="1656"/>
      <c r="AN289" s="1656"/>
      <c r="AO289" s="1656"/>
      <c r="AP289" s="1656"/>
      <c r="AQ289" s="1656"/>
      <c r="AR289" s="1656"/>
      <c r="AS289" s="1656"/>
      <c r="AT289" s="1656"/>
      <c r="AU289" s="1656"/>
      <c r="AV289" s="1656"/>
      <c r="AW289" s="1656"/>
      <c r="AX289" s="1656"/>
      <c r="AY289" s="1656"/>
      <c r="AZ289" s="1656"/>
      <c r="BA289" s="1656"/>
      <c r="BB289" s="1656"/>
      <c r="BC289" s="1656"/>
      <c r="BD289" s="1656"/>
      <c r="BE289" s="1656"/>
      <c r="BF289" s="1656"/>
      <c r="BG289" s="1656"/>
      <c r="BH289" s="1656"/>
      <c r="BI289" s="1656"/>
      <c r="BJ289" s="1656"/>
      <c r="BK289" s="1656"/>
      <c r="BL289" s="1656"/>
      <c r="BM289" s="1656"/>
      <c r="BN289" s="1656"/>
      <c r="BO289" s="1656"/>
      <c r="BP289" s="1656"/>
      <c r="BQ289" s="1656"/>
      <c r="BR289" s="1656"/>
      <c r="BS289" s="1656"/>
      <c r="BT289" s="1656"/>
      <c r="BU289" s="1656"/>
      <c r="BV289" s="1656"/>
      <c r="BW289" s="1656"/>
      <c r="BX289" s="1656"/>
      <c r="BY289" s="1656"/>
      <c r="BZ289" s="1656"/>
      <c r="CA289" s="1656"/>
      <c r="CB289" s="1656"/>
      <c r="CC289" s="1656"/>
      <c r="CD289" s="1656"/>
      <c r="CE289" s="1656"/>
      <c r="CF289" s="1656"/>
      <c r="CG289" s="1656"/>
      <c r="CH289" s="1656"/>
      <c r="CI289" s="1656"/>
      <c r="CJ289" s="1656"/>
      <c r="CK289" s="1656"/>
      <c r="CL289" s="1656"/>
      <c r="CM289" s="1656"/>
      <c r="CN289" s="1656"/>
      <c r="CO289" s="1656"/>
      <c r="CP289" s="1656"/>
      <c r="CQ289" s="1656"/>
      <c r="CR289" s="1656"/>
      <c r="CS289" s="1656"/>
      <c r="CT289" s="1656"/>
      <c r="CU289" s="1656"/>
      <c r="CV289" s="1656"/>
      <c r="CW289" s="1656"/>
      <c r="CX289" s="1656"/>
      <c r="CY289" s="1656"/>
      <c r="CZ289" s="1656"/>
      <c r="DA289" s="1656"/>
      <c r="DB289" s="1656"/>
      <c r="DC289" s="1656"/>
      <c r="DD289" s="1656"/>
      <c r="DE289" s="1656"/>
      <c r="DF289" s="1656"/>
      <c r="DG289" s="1656"/>
      <c r="DH289" s="1656"/>
      <c r="DI289" s="1656"/>
      <c r="DJ289" s="1656"/>
      <c r="DK289" s="1656"/>
      <c r="DL289" s="1656"/>
      <c r="DM289" s="1656"/>
      <c r="DN289" s="1656"/>
      <c r="DO289" s="1656"/>
      <c r="DP289" s="1656"/>
      <c r="DQ289" s="1656"/>
      <c r="DR289" s="1656"/>
      <c r="DS289" s="1656"/>
      <c r="DT289" s="1656"/>
      <c r="DU289" s="1656"/>
      <c r="DV289" s="1656"/>
      <c r="DW289" s="1656"/>
      <c r="DX289" s="1656"/>
      <c r="DY289" s="1656"/>
      <c r="DZ289" s="1656"/>
      <c r="EA289" s="1656"/>
      <c r="EB289" s="1656"/>
      <c r="EC289" s="1656"/>
      <c r="ED289" s="1656"/>
      <c r="EE289" s="1656"/>
      <c r="EF289" s="1656"/>
      <c r="EG289" s="1656"/>
      <c r="EH289" s="1656"/>
      <c r="EI289" s="1656"/>
      <c r="EJ289" s="1656"/>
      <c r="EK289" s="1656"/>
      <c r="EL289" s="1656"/>
      <c r="EM289" s="1656"/>
      <c r="EN289" s="1656"/>
      <c r="EO289" s="1656"/>
      <c r="EP289" s="1656"/>
      <c r="EQ289" s="1656"/>
      <c r="ER289" s="1656"/>
      <c r="ES289" s="1656"/>
      <c r="ET289" s="1656"/>
      <c r="EU289" s="1656"/>
      <c r="EV289" s="1656"/>
      <c r="EW289" s="1656"/>
      <c r="EX289" s="1656"/>
      <c r="EY289" s="1656"/>
      <c r="EZ289" s="1656"/>
      <c r="FA289" s="1656"/>
      <c r="FB289" s="1656"/>
      <c r="FC289" s="1656"/>
      <c r="FD289" s="1656"/>
      <c r="FE289" s="1656"/>
      <c r="FF289" s="1656"/>
    </row>
    <row r="291" spans="6:162" s="1658" customFormat="1" ht="15.75" customHeight="1">
      <c r="F291" s="1656"/>
      <c r="G291" s="1656"/>
      <c r="H291" s="1656"/>
      <c r="I291" s="1656"/>
      <c r="J291" s="1656"/>
      <c r="K291" s="1656"/>
      <c r="L291" s="1656"/>
      <c r="M291" s="1656"/>
      <c r="N291" s="1656"/>
      <c r="O291" s="1656"/>
      <c r="P291" s="1656"/>
      <c r="Q291" s="1656"/>
      <c r="R291" s="1656"/>
      <c r="S291" s="1656"/>
      <c r="T291" s="1656"/>
      <c r="U291" s="1656"/>
      <c r="V291" s="1656"/>
      <c r="W291" s="1656"/>
      <c r="X291" s="1656"/>
      <c r="Y291" s="1656"/>
      <c r="AA291" s="1656"/>
      <c r="AC291" s="1656"/>
      <c r="AD291" s="1656"/>
      <c r="AE291" s="1656"/>
      <c r="AF291" s="1656"/>
      <c r="AG291" s="1656"/>
      <c r="AH291" s="1657"/>
      <c r="AI291" s="1657"/>
      <c r="AJ291" s="1656"/>
      <c r="AK291" s="1656"/>
      <c r="AL291" s="1656"/>
      <c r="AM291" s="1656"/>
      <c r="AN291" s="1656"/>
      <c r="AO291" s="1656"/>
      <c r="AP291" s="1656"/>
      <c r="AQ291" s="1656"/>
      <c r="AR291" s="1656"/>
      <c r="AS291" s="1656"/>
      <c r="AT291" s="1656"/>
      <c r="AU291" s="1656"/>
      <c r="AV291" s="1656"/>
      <c r="AW291" s="1656"/>
      <c r="AX291" s="1656"/>
      <c r="AY291" s="1656"/>
      <c r="AZ291" s="1656"/>
      <c r="BA291" s="1656"/>
      <c r="BB291" s="1656"/>
      <c r="BC291" s="1656"/>
      <c r="BD291" s="1656"/>
      <c r="BE291" s="1656"/>
      <c r="BF291" s="1656"/>
      <c r="BG291" s="1656"/>
      <c r="BH291" s="1656"/>
      <c r="BI291" s="1656"/>
      <c r="BJ291" s="1656"/>
      <c r="BK291" s="1656"/>
      <c r="BL291" s="1656"/>
      <c r="BM291" s="1656"/>
      <c r="BN291" s="1656"/>
      <c r="BO291" s="1656"/>
      <c r="BP291" s="1656"/>
      <c r="BQ291" s="1656"/>
      <c r="BR291" s="1656"/>
      <c r="BS291" s="1656"/>
      <c r="BT291" s="1656"/>
      <c r="BU291" s="1656"/>
      <c r="BV291" s="1656"/>
      <c r="BW291" s="1656"/>
      <c r="BX291" s="1656"/>
      <c r="BY291" s="1656"/>
      <c r="BZ291" s="1656"/>
      <c r="CA291" s="1656"/>
      <c r="CB291" s="1656"/>
      <c r="CC291" s="1656"/>
      <c r="CD291" s="1656"/>
      <c r="CE291" s="1656"/>
      <c r="CF291" s="1656"/>
      <c r="CG291" s="1656"/>
      <c r="CH291" s="1656"/>
      <c r="CI291" s="1656"/>
      <c r="CJ291" s="1656"/>
      <c r="CK291" s="1656"/>
      <c r="CL291" s="1656"/>
      <c r="CM291" s="1656"/>
      <c r="CN291" s="1656"/>
      <c r="CO291" s="1656"/>
      <c r="CP291" s="1656"/>
      <c r="CQ291" s="1656"/>
      <c r="CR291" s="1656"/>
      <c r="CS291" s="1656"/>
      <c r="CT291" s="1656"/>
      <c r="CU291" s="1656"/>
      <c r="CV291" s="1656"/>
      <c r="CW291" s="1656"/>
      <c r="CX291" s="1656"/>
      <c r="CY291" s="1656"/>
      <c r="CZ291" s="1656"/>
      <c r="DA291" s="1656"/>
      <c r="DB291" s="1656"/>
      <c r="DC291" s="1656"/>
      <c r="DD291" s="1656"/>
      <c r="DE291" s="1656"/>
      <c r="DF291" s="1656"/>
      <c r="DG291" s="1656"/>
      <c r="DH291" s="1656"/>
      <c r="DI291" s="1656"/>
      <c r="DJ291" s="1656"/>
      <c r="DK291" s="1656"/>
      <c r="DL291" s="1656"/>
      <c r="DM291" s="1656"/>
      <c r="DN291" s="1656"/>
      <c r="DO291" s="1656"/>
      <c r="DP291" s="1656"/>
      <c r="DQ291" s="1656"/>
      <c r="DR291" s="1656"/>
      <c r="DS291" s="1656"/>
      <c r="DT291" s="1656"/>
      <c r="DU291" s="1656"/>
      <c r="DV291" s="1656"/>
      <c r="DW291" s="1656"/>
      <c r="DX291" s="1656"/>
      <c r="DY291" s="1656"/>
      <c r="DZ291" s="1656"/>
      <c r="EA291" s="1656"/>
      <c r="EB291" s="1656"/>
      <c r="EC291" s="1656"/>
      <c r="ED291" s="1656"/>
      <c r="EE291" s="1656"/>
      <c r="EF291" s="1656"/>
      <c r="EG291" s="1656"/>
      <c r="EH291" s="1656"/>
      <c r="EI291" s="1656"/>
      <c r="EJ291" s="1656"/>
      <c r="EK291" s="1656"/>
      <c r="EL291" s="1656"/>
      <c r="EM291" s="1656"/>
      <c r="EN291" s="1656"/>
      <c r="EO291" s="1656"/>
      <c r="EP291" s="1656"/>
      <c r="EQ291" s="1656"/>
      <c r="ER291" s="1656"/>
      <c r="ES291" s="1656"/>
      <c r="ET291" s="1656"/>
      <c r="EU291" s="1656"/>
      <c r="EV291" s="1656"/>
      <c r="EW291" s="1656"/>
      <c r="EX291" s="1656"/>
      <c r="EY291" s="1656"/>
      <c r="EZ291" s="1656"/>
      <c r="FA291" s="1656"/>
      <c r="FB291" s="1656"/>
      <c r="FC291" s="1656"/>
      <c r="FD291" s="1656"/>
      <c r="FE291" s="1656"/>
      <c r="FF291" s="1656"/>
    </row>
    <row r="293" spans="6:162" s="1658" customFormat="1" ht="15.75" customHeight="1">
      <c r="F293" s="1656"/>
      <c r="G293" s="1656"/>
      <c r="H293" s="1656"/>
      <c r="I293" s="1656"/>
      <c r="J293" s="1656"/>
      <c r="K293" s="1656"/>
      <c r="L293" s="1656"/>
      <c r="M293" s="1656"/>
      <c r="N293" s="1656"/>
      <c r="O293" s="1656"/>
      <c r="P293" s="1656"/>
      <c r="Q293" s="1656"/>
      <c r="R293" s="1656"/>
      <c r="S293" s="1656"/>
      <c r="T293" s="1656"/>
      <c r="U293" s="1656"/>
      <c r="V293" s="1656"/>
      <c r="W293" s="1656"/>
      <c r="X293" s="1656"/>
      <c r="Y293" s="1656"/>
      <c r="AA293" s="1656"/>
      <c r="AC293" s="1656"/>
      <c r="AD293" s="1656"/>
      <c r="AE293" s="1656"/>
      <c r="AF293" s="1656"/>
      <c r="AG293" s="1656"/>
      <c r="AH293" s="1657"/>
      <c r="AI293" s="1657"/>
      <c r="AJ293" s="1656"/>
      <c r="AK293" s="1656"/>
      <c r="AL293" s="1656"/>
      <c r="AM293" s="1656"/>
      <c r="AN293" s="1656"/>
      <c r="AO293" s="1656"/>
      <c r="AP293" s="1656"/>
      <c r="AQ293" s="1656"/>
      <c r="AR293" s="1656"/>
      <c r="AS293" s="1656"/>
      <c r="AT293" s="1656"/>
      <c r="AU293" s="1656"/>
      <c r="AV293" s="1656"/>
      <c r="AW293" s="1656"/>
      <c r="AX293" s="1656"/>
      <c r="AY293" s="1656"/>
      <c r="AZ293" s="1656"/>
      <c r="BA293" s="1656"/>
      <c r="BB293" s="1656"/>
      <c r="BC293" s="1656"/>
      <c r="BD293" s="1656"/>
      <c r="BE293" s="1656"/>
      <c r="BF293" s="1656"/>
      <c r="BG293" s="1656"/>
      <c r="BH293" s="1656"/>
      <c r="BI293" s="1656"/>
      <c r="BJ293" s="1656"/>
      <c r="BK293" s="1656"/>
      <c r="BL293" s="1656"/>
      <c r="BM293" s="1656"/>
      <c r="BN293" s="1656"/>
      <c r="BO293" s="1656"/>
      <c r="BP293" s="1656"/>
      <c r="BQ293" s="1656"/>
      <c r="BR293" s="1656"/>
      <c r="BS293" s="1656"/>
      <c r="BT293" s="1656"/>
      <c r="BU293" s="1656"/>
      <c r="BV293" s="1656"/>
      <c r="BW293" s="1656"/>
      <c r="BX293" s="1656"/>
      <c r="BY293" s="1656"/>
      <c r="BZ293" s="1656"/>
      <c r="CA293" s="1656"/>
      <c r="CB293" s="1656"/>
      <c r="CC293" s="1656"/>
      <c r="CD293" s="1656"/>
      <c r="CE293" s="1656"/>
      <c r="CF293" s="1656"/>
      <c r="CG293" s="1656"/>
      <c r="CH293" s="1656"/>
      <c r="CI293" s="1656"/>
      <c r="CJ293" s="1656"/>
      <c r="CK293" s="1656"/>
      <c r="CL293" s="1656"/>
      <c r="CM293" s="1656"/>
      <c r="CN293" s="1656"/>
      <c r="CO293" s="1656"/>
      <c r="CP293" s="1656"/>
      <c r="CQ293" s="1656"/>
      <c r="CR293" s="1656"/>
      <c r="CS293" s="1656"/>
      <c r="CT293" s="1656"/>
      <c r="CU293" s="1656"/>
      <c r="CV293" s="1656"/>
      <c r="CW293" s="1656"/>
      <c r="CX293" s="1656"/>
      <c r="CY293" s="1656"/>
      <c r="CZ293" s="1656"/>
      <c r="DA293" s="1656"/>
      <c r="DB293" s="1656"/>
      <c r="DC293" s="1656"/>
      <c r="DD293" s="1656"/>
      <c r="DE293" s="1656"/>
      <c r="DF293" s="1656"/>
      <c r="DG293" s="1656"/>
      <c r="DH293" s="1656"/>
      <c r="DI293" s="1656"/>
      <c r="DJ293" s="1656"/>
      <c r="DK293" s="1656"/>
      <c r="DL293" s="1656"/>
      <c r="DM293" s="1656"/>
      <c r="DN293" s="1656"/>
      <c r="DO293" s="1656"/>
      <c r="DP293" s="1656"/>
      <c r="DQ293" s="1656"/>
      <c r="DR293" s="1656"/>
      <c r="DS293" s="1656"/>
      <c r="DT293" s="1656"/>
      <c r="DU293" s="1656"/>
      <c r="DV293" s="1656"/>
      <c r="DW293" s="1656"/>
      <c r="DX293" s="1656"/>
      <c r="DY293" s="1656"/>
      <c r="DZ293" s="1656"/>
      <c r="EA293" s="1656"/>
      <c r="EB293" s="1656"/>
      <c r="EC293" s="1656"/>
      <c r="ED293" s="1656"/>
      <c r="EE293" s="1656"/>
      <c r="EF293" s="1656"/>
      <c r="EG293" s="1656"/>
      <c r="EH293" s="1656"/>
      <c r="EI293" s="1656"/>
      <c r="EJ293" s="1656"/>
      <c r="EK293" s="1656"/>
      <c r="EL293" s="1656"/>
      <c r="EM293" s="1656"/>
      <c r="EN293" s="1656"/>
      <c r="EO293" s="1656"/>
      <c r="EP293" s="1656"/>
      <c r="EQ293" s="1656"/>
      <c r="ER293" s="1656"/>
      <c r="ES293" s="1656"/>
      <c r="ET293" s="1656"/>
      <c r="EU293" s="1656"/>
      <c r="EV293" s="1656"/>
      <c r="EW293" s="1656"/>
      <c r="EX293" s="1656"/>
      <c r="EY293" s="1656"/>
      <c r="EZ293" s="1656"/>
      <c r="FA293" s="1656"/>
      <c r="FB293" s="1656"/>
      <c r="FC293" s="1656"/>
      <c r="FD293" s="1656"/>
      <c r="FE293" s="1656"/>
      <c r="FF293" s="1656"/>
    </row>
    <row r="295" spans="6:162" s="1658" customFormat="1" ht="15.75" customHeight="1">
      <c r="F295" s="1656"/>
      <c r="G295" s="1656"/>
      <c r="H295" s="1656"/>
      <c r="I295" s="1656"/>
      <c r="J295" s="1656"/>
      <c r="K295" s="1656"/>
      <c r="L295" s="1656"/>
      <c r="M295" s="1656"/>
      <c r="N295" s="1656"/>
      <c r="O295" s="1656"/>
      <c r="P295" s="1656"/>
      <c r="Q295" s="1656"/>
      <c r="R295" s="1656"/>
      <c r="S295" s="1656"/>
      <c r="T295" s="1656"/>
      <c r="U295" s="1656"/>
      <c r="V295" s="1656"/>
      <c r="W295" s="1656"/>
      <c r="X295" s="1656"/>
      <c r="Y295" s="1656"/>
      <c r="AA295" s="1656"/>
      <c r="AC295" s="1656"/>
      <c r="AD295" s="1656"/>
      <c r="AE295" s="1656"/>
      <c r="AF295" s="1656"/>
      <c r="AG295" s="1656"/>
      <c r="AH295" s="1657"/>
      <c r="AI295" s="1657"/>
      <c r="AJ295" s="1656"/>
      <c r="AK295" s="1656"/>
      <c r="AL295" s="1656"/>
      <c r="AM295" s="1656"/>
      <c r="AN295" s="1656"/>
      <c r="AO295" s="1656"/>
      <c r="AP295" s="1656"/>
      <c r="AQ295" s="1656"/>
      <c r="AR295" s="1656"/>
      <c r="AS295" s="1656"/>
      <c r="AT295" s="1656"/>
      <c r="AU295" s="1656"/>
      <c r="AV295" s="1656"/>
      <c r="AW295" s="1656"/>
      <c r="AX295" s="1656"/>
      <c r="AY295" s="1656"/>
      <c r="AZ295" s="1656"/>
      <c r="BA295" s="1656"/>
      <c r="BB295" s="1656"/>
      <c r="BC295" s="1656"/>
      <c r="BD295" s="1656"/>
      <c r="BE295" s="1656"/>
      <c r="BF295" s="1656"/>
      <c r="BG295" s="1656"/>
      <c r="BH295" s="1656"/>
      <c r="BI295" s="1656"/>
      <c r="BJ295" s="1656"/>
      <c r="BK295" s="1656"/>
      <c r="BL295" s="1656"/>
      <c r="BM295" s="1656"/>
      <c r="BN295" s="1656"/>
      <c r="BO295" s="1656"/>
      <c r="BP295" s="1656"/>
      <c r="BQ295" s="1656"/>
      <c r="BR295" s="1656"/>
      <c r="BS295" s="1656"/>
      <c r="BT295" s="1656"/>
      <c r="BU295" s="1656"/>
      <c r="BV295" s="1656"/>
      <c r="BW295" s="1656"/>
      <c r="BX295" s="1656"/>
      <c r="BY295" s="1656"/>
      <c r="BZ295" s="1656"/>
      <c r="CA295" s="1656"/>
      <c r="CB295" s="1656"/>
      <c r="CC295" s="1656"/>
      <c r="CD295" s="1656"/>
      <c r="CE295" s="1656"/>
      <c r="CF295" s="1656"/>
      <c r="CG295" s="1656"/>
      <c r="CH295" s="1656"/>
      <c r="CI295" s="1656"/>
      <c r="CJ295" s="1656"/>
      <c r="CK295" s="1656"/>
      <c r="CL295" s="1656"/>
      <c r="CM295" s="1656"/>
      <c r="CN295" s="1656"/>
      <c r="CO295" s="1656"/>
      <c r="CP295" s="1656"/>
      <c r="CQ295" s="1656"/>
      <c r="CR295" s="1656"/>
      <c r="CS295" s="1656"/>
      <c r="CT295" s="1656"/>
      <c r="CU295" s="1656"/>
      <c r="CV295" s="1656"/>
      <c r="CW295" s="1656"/>
      <c r="CX295" s="1656"/>
      <c r="CY295" s="1656"/>
      <c r="CZ295" s="1656"/>
      <c r="DA295" s="1656"/>
      <c r="DB295" s="1656"/>
      <c r="DC295" s="1656"/>
      <c r="DD295" s="1656"/>
      <c r="DE295" s="1656"/>
      <c r="DF295" s="1656"/>
      <c r="DG295" s="1656"/>
      <c r="DH295" s="1656"/>
      <c r="DI295" s="1656"/>
      <c r="DJ295" s="1656"/>
      <c r="DK295" s="1656"/>
      <c r="DL295" s="1656"/>
      <c r="DM295" s="1656"/>
      <c r="DN295" s="1656"/>
      <c r="DO295" s="1656"/>
      <c r="DP295" s="1656"/>
      <c r="DQ295" s="1656"/>
      <c r="DR295" s="1656"/>
      <c r="DS295" s="1656"/>
      <c r="DT295" s="1656"/>
      <c r="DU295" s="1656"/>
      <c r="DV295" s="1656"/>
      <c r="DW295" s="1656"/>
      <c r="DX295" s="1656"/>
      <c r="DY295" s="1656"/>
      <c r="DZ295" s="1656"/>
      <c r="EA295" s="1656"/>
      <c r="EB295" s="1656"/>
      <c r="EC295" s="1656"/>
      <c r="ED295" s="1656"/>
      <c r="EE295" s="1656"/>
      <c r="EF295" s="1656"/>
      <c r="EG295" s="1656"/>
      <c r="EH295" s="1656"/>
      <c r="EI295" s="1656"/>
      <c r="EJ295" s="1656"/>
      <c r="EK295" s="1656"/>
      <c r="EL295" s="1656"/>
      <c r="EM295" s="1656"/>
      <c r="EN295" s="1656"/>
      <c r="EO295" s="1656"/>
      <c r="EP295" s="1656"/>
      <c r="EQ295" s="1656"/>
      <c r="ER295" s="1656"/>
      <c r="ES295" s="1656"/>
      <c r="ET295" s="1656"/>
      <c r="EU295" s="1656"/>
      <c r="EV295" s="1656"/>
      <c r="EW295" s="1656"/>
      <c r="EX295" s="1656"/>
      <c r="EY295" s="1656"/>
      <c r="EZ295" s="1656"/>
      <c r="FA295" s="1656"/>
      <c r="FB295" s="1656"/>
      <c r="FC295" s="1656"/>
      <c r="FD295" s="1656"/>
      <c r="FE295" s="1656"/>
      <c r="FF295" s="1656"/>
    </row>
    <row r="297" spans="6:162" s="1658" customFormat="1" ht="15.75" customHeight="1">
      <c r="F297" s="1656"/>
      <c r="G297" s="1656"/>
      <c r="H297" s="1656"/>
      <c r="I297" s="1656"/>
      <c r="J297" s="1656"/>
      <c r="K297" s="1656"/>
      <c r="L297" s="1656"/>
      <c r="M297" s="1656"/>
      <c r="N297" s="1656"/>
      <c r="O297" s="1656"/>
      <c r="P297" s="1656"/>
      <c r="Q297" s="1656"/>
      <c r="R297" s="1656"/>
      <c r="S297" s="1656"/>
      <c r="T297" s="1656"/>
      <c r="U297" s="1656"/>
      <c r="V297" s="1656"/>
      <c r="W297" s="1656"/>
      <c r="X297" s="1656"/>
      <c r="Y297" s="1656"/>
      <c r="AA297" s="1656"/>
      <c r="AC297" s="1656"/>
      <c r="AD297" s="1656"/>
      <c r="AE297" s="1656"/>
      <c r="AF297" s="1656"/>
      <c r="AG297" s="1656"/>
      <c r="AH297" s="1657"/>
      <c r="AI297" s="1657"/>
      <c r="AJ297" s="1656"/>
      <c r="AK297" s="1656"/>
      <c r="AL297" s="1656"/>
      <c r="AM297" s="1656"/>
      <c r="AN297" s="1656"/>
      <c r="AO297" s="1656"/>
      <c r="AP297" s="1656"/>
      <c r="AQ297" s="1656"/>
      <c r="AR297" s="1656"/>
      <c r="AS297" s="1656"/>
      <c r="AT297" s="1656"/>
      <c r="AU297" s="1656"/>
      <c r="AV297" s="1656"/>
      <c r="AW297" s="1656"/>
      <c r="AX297" s="1656"/>
      <c r="AY297" s="1656"/>
      <c r="AZ297" s="1656"/>
      <c r="BA297" s="1656"/>
      <c r="BB297" s="1656"/>
      <c r="BC297" s="1656"/>
      <c r="BD297" s="1656"/>
      <c r="BE297" s="1656"/>
      <c r="BF297" s="1656"/>
      <c r="BG297" s="1656"/>
      <c r="BH297" s="1656"/>
      <c r="BI297" s="1656"/>
      <c r="BJ297" s="1656"/>
      <c r="BK297" s="1656"/>
      <c r="BL297" s="1656"/>
      <c r="BM297" s="1656"/>
      <c r="BN297" s="1656"/>
      <c r="BO297" s="1656"/>
      <c r="BP297" s="1656"/>
      <c r="BQ297" s="1656"/>
      <c r="BR297" s="1656"/>
      <c r="BS297" s="1656"/>
      <c r="BT297" s="1656"/>
      <c r="BU297" s="1656"/>
      <c r="BV297" s="1656"/>
      <c r="BW297" s="1656"/>
      <c r="BX297" s="1656"/>
      <c r="BY297" s="1656"/>
      <c r="BZ297" s="1656"/>
      <c r="CA297" s="1656"/>
      <c r="CB297" s="1656"/>
      <c r="CC297" s="1656"/>
      <c r="CD297" s="1656"/>
      <c r="CE297" s="1656"/>
      <c r="CF297" s="1656"/>
      <c r="CG297" s="1656"/>
      <c r="CH297" s="1656"/>
      <c r="CI297" s="1656"/>
      <c r="CJ297" s="1656"/>
      <c r="CK297" s="1656"/>
      <c r="CL297" s="1656"/>
      <c r="CM297" s="1656"/>
      <c r="CN297" s="1656"/>
      <c r="CO297" s="1656"/>
      <c r="CP297" s="1656"/>
      <c r="CQ297" s="1656"/>
      <c r="CR297" s="1656"/>
      <c r="CS297" s="1656"/>
      <c r="CT297" s="1656"/>
      <c r="CU297" s="1656"/>
      <c r="CV297" s="1656"/>
      <c r="CW297" s="1656"/>
      <c r="CX297" s="1656"/>
      <c r="CY297" s="1656"/>
      <c r="CZ297" s="1656"/>
      <c r="DA297" s="1656"/>
      <c r="DB297" s="1656"/>
      <c r="DC297" s="1656"/>
      <c r="DD297" s="1656"/>
      <c r="DE297" s="1656"/>
      <c r="DF297" s="1656"/>
      <c r="DG297" s="1656"/>
      <c r="DH297" s="1656"/>
      <c r="DI297" s="1656"/>
      <c r="DJ297" s="1656"/>
      <c r="DK297" s="1656"/>
      <c r="DL297" s="1656"/>
      <c r="DM297" s="1656"/>
      <c r="DN297" s="1656"/>
      <c r="DO297" s="1656"/>
      <c r="DP297" s="1656"/>
      <c r="DQ297" s="1656"/>
      <c r="DR297" s="1656"/>
      <c r="DS297" s="1656"/>
      <c r="DT297" s="1656"/>
      <c r="DU297" s="1656"/>
      <c r="DV297" s="1656"/>
      <c r="DW297" s="1656"/>
      <c r="DX297" s="1656"/>
      <c r="DY297" s="1656"/>
      <c r="DZ297" s="1656"/>
      <c r="EA297" s="1656"/>
      <c r="EB297" s="1656"/>
      <c r="EC297" s="1656"/>
      <c r="ED297" s="1656"/>
      <c r="EE297" s="1656"/>
      <c r="EF297" s="1656"/>
      <c r="EG297" s="1656"/>
      <c r="EH297" s="1656"/>
      <c r="EI297" s="1656"/>
      <c r="EJ297" s="1656"/>
      <c r="EK297" s="1656"/>
      <c r="EL297" s="1656"/>
      <c r="EM297" s="1656"/>
      <c r="EN297" s="1656"/>
      <c r="EO297" s="1656"/>
      <c r="EP297" s="1656"/>
      <c r="EQ297" s="1656"/>
      <c r="ER297" s="1656"/>
      <c r="ES297" s="1656"/>
      <c r="ET297" s="1656"/>
      <c r="EU297" s="1656"/>
      <c r="EV297" s="1656"/>
      <c r="EW297" s="1656"/>
      <c r="EX297" s="1656"/>
      <c r="EY297" s="1656"/>
      <c r="EZ297" s="1656"/>
      <c r="FA297" s="1656"/>
      <c r="FB297" s="1656"/>
      <c r="FC297" s="1656"/>
      <c r="FD297" s="1656"/>
      <c r="FE297" s="1656"/>
      <c r="FF297" s="1656"/>
    </row>
    <row r="299" spans="6:162" s="1658" customFormat="1" ht="15.75" customHeight="1">
      <c r="F299" s="1656"/>
      <c r="G299" s="1656"/>
      <c r="H299" s="1656"/>
      <c r="I299" s="1656"/>
      <c r="J299" s="1656"/>
      <c r="K299" s="1656"/>
      <c r="L299" s="1656"/>
      <c r="M299" s="1656"/>
      <c r="N299" s="1656"/>
      <c r="O299" s="1656"/>
      <c r="P299" s="1656"/>
      <c r="Q299" s="1656"/>
      <c r="R299" s="1656"/>
      <c r="S299" s="1656"/>
      <c r="T299" s="1656"/>
      <c r="U299" s="1656"/>
      <c r="V299" s="1656"/>
      <c r="W299" s="1656"/>
      <c r="X299" s="1656"/>
      <c r="Y299" s="1656"/>
      <c r="AA299" s="1656"/>
      <c r="AC299" s="1656"/>
      <c r="AD299" s="1656"/>
      <c r="AE299" s="1656"/>
      <c r="AF299" s="1656"/>
      <c r="AG299" s="1656"/>
      <c r="AH299" s="1657"/>
      <c r="AI299" s="1657"/>
      <c r="AJ299" s="1656"/>
      <c r="AK299" s="1656"/>
      <c r="AL299" s="1656"/>
      <c r="AM299" s="1656"/>
      <c r="AN299" s="1656"/>
      <c r="AO299" s="1656"/>
      <c r="AP299" s="1656"/>
      <c r="AQ299" s="1656"/>
      <c r="AR299" s="1656"/>
      <c r="AS299" s="1656"/>
      <c r="AT299" s="1656"/>
      <c r="AU299" s="1656"/>
      <c r="AV299" s="1656"/>
      <c r="AW299" s="1656"/>
      <c r="AX299" s="1656"/>
      <c r="AY299" s="1656"/>
      <c r="AZ299" s="1656"/>
      <c r="BA299" s="1656"/>
      <c r="BB299" s="1656"/>
      <c r="BC299" s="1656"/>
      <c r="BD299" s="1656"/>
      <c r="BE299" s="1656"/>
      <c r="BF299" s="1656"/>
      <c r="BG299" s="1656"/>
      <c r="BH299" s="1656"/>
      <c r="BI299" s="1656"/>
      <c r="BJ299" s="1656"/>
      <c r="BK299" s="1656"/>
      <c r="BL299" s="1656"/>
      <c r="BM299" s="1656"/>
      <c r="BN299" s="1656"/>
      <c r="BO299" s="1656"/>
      <c r="BP299" s="1656"/>
      <c r="BQ299" s="1656"/>
      <c r="BR299" s="1656"/>
      <c r="BS299" s="1656"/>
      <c r="BT299" s="1656"/>
      <c r="BU299" s="1656"/>
      <c r="BV299" s="1656"/>
      <c r="BW299" s="1656"/>
      <c r="BX299" s="1656"/>
      <c r="BY299" s="1656"/>
      <c r="BZ299" s="1656"/>
      <c r="CA299" s="1656"/>
      <c r="CB299" s="1656"/>
      <c r="CC299" s="1656"/>
      <c r="CD299" s="1656"/>
      <c r="CE299" s="1656"/>
      <c r="CF299" s="1656"/>
      <c r="CG299" s="1656"/>
      <c r="CH299" s="1656"/>
      <c r="CI299" s="1656"/>
      <c r="CJ299" s="1656"/>
      <c r="CK299" s="1656"/>
      <c r="CL299" s="1656"/>
      <c r="CM299" s="1656"/>
      <c r="CN299" s="1656"/>
      <c r="CO299" s="1656"/>
      <c r="CP299" s="1656"/>
      <c r="CQ299" s="1656"/>
      <c r="CR299" s="1656"/>
      <c r="CS299" s="1656"/>
      <c r="CT299" s="1656"/>
      <c r="CU299" s="1656"/>
      <c r="CV299" s="1656"/>
      <c r="CW299" s="1656"/>
      <c r="CX299" s="1656"/>
      <c r="CY299" s="1656"/>
      <c r="CZ299" s="1656"/>
      <c r="DA299" s="1656"/>
      <c r="DB299" s="1656"/>
      <c r="DC299" s="1656"/>
      <c r="DD299" s="1656"/>
      <c r="DE299" s="1656"/>
      <c r="DF299" s="1656"/>
      <c r="DG299" s="1656"/>
      <c r="DH299" s="1656"/>
      <c r="DI299" s="1656"/>
      <c r="DJ299" s="1656"/>
      <c r="DK299" s="1656"/>
      <c r="DL299" s="1656"/>
      <c r="DM299" s="1656"/>
      <c r="DN299" s="1656"/>
      <c r="DO299" s="1656"/>
      <c r="DP299" s="1656"/>
      <c r="DQ299" s="1656"/>
      <c r="DR299" s="1656"/>
      <c r="DS299" s="1656"/>
      <c r="DT299" s="1656"/>
      <c r="DU299" s="1656"/>
      <c r="DV299" s="1656"/>
      <c r="DW299" s="1656"/>
      <c r="DX299" s="1656"/>
      <c r="DY299" s="1656"/>
      <c r="DZ299" s="1656"/>
      <c r="EA299" s="1656"/>
      <c r="EB299" s="1656"/>
      <c r="EC299" s="1656"/>
      <c r="ED299" s="1656"/>
      <c r="EE299" s="1656"/>
      <c r="EF299" s="1656"/>
      <c r="EG299" s="1656"/>
      <c r="EH299" s="1656"/>
      <c r="EI299" s="1656"/>
      <c r="EJ299" s="1656"/>
      <c r="EK299" s="1656"/>
      <c r="EL299" s="1656"/>
      <c r="EM299" s="1656"/>
      <c r="EN299" s="1656"/>
      <c r="EO299" s="1656"/>
      <c r="EP299" s="1656"/>
      <c r="EQ299" s="1656"/>
      <c r="ER299" s="1656"/>
      <c r="ES299" s="1656"/>
      <c r="ET299" s="1656"/>
      <c r="EU299" s="1656"/>
      <c r="EV299" s="1656"/>
      <c r="EW299" s="1656"/>
      <c r="EX299" s="1656"/>
      <c r="EY299" s="1656"/>
      <c r="EZ299" s="1656"/>
      <c r="FA299" s="1656"/>
      <c r="FB299" s="1656"/>
      <c r="FC299" s="1656"/>
      <c r="FD299" s="1656"/>
      <c r="FE299" s="1656"/>
      <c r="FF299" s="1656"/>
    </row>
    <row r="301" spans="6:162" s="1658" customFormat="1" ht="15.75" customHeight="1">
      <c r="F301" s="1656"/>
      <c r="G301" s="1656"/>
      <c r="H301" s="1656"/>
      <c r="I301" s="1656"/>
      <c r="J301" s="1656"/>
      <c r="K301" s="1656"/>
      <c r="L301" s="1656"/>
      <c r="M301" s="1656"/>
      <c r="N301" s="1656"/>
      <c r="O301" s="1656"/>
      <c r="P301" s="1656"/>
      <c r="Q301" s="1656"/>
      <c r="R301" s="1656"/>
      <c r="S301" s="1656"/>
      <c r="T301" s="1656"/>
      <c r="U301" s="1656"/>
      <c r="V301" s="1656"/>
      <c r="W301" s="1656"/>
      <c r="X301" s="1656"/>
      <c r="Y301" s="1656"/>
      <c r="AA301" s="1656"/>
      <c r="AC301" s="1656"/>
      <c r="AD301" s="1656"/>
      <c r="AE301" s="1656"/>
      <c r="AF301" s="1656"/>
      <c r="AG301" s="1656"/>
      <c r="AH301" s="1657"/>
      <c r="AI301" s="1657"/>
      <c r="AJ301" s="1656"/>
      <c r="AK301" s="1656"/>
      <c r="AL301" s="1656"/>
      <c r="AM301" s="1656"/>
      <c r="AN301" s="1656"/>
      <c r="AO301" s="1656"/>
      <c r="AP301" s="1656"/>
      <c r="AQ301" s="1656"/>
      <c r="AR301" s="1656"/>
      <c r="AS301" s="1656"/>
      <c r="AT301" s="1656"/>
      <c r="AU301" s="1656"/>
      <c r="AV301" s="1656"/>
      <c r="AW301" s="1656"/>
      <c r="AX301" s="1656"/>
      <c r="AY301" s="1656"/>
      <c r="AZ301" s="1656"/>
      <c r="BA301" s="1656"/>
      <c r="BB301" s="1656"/>
      <c r="BC301" s="1656"/>
      <c r="BD301" s="1656"/>
      <c r="BE301" s="1656"/>
      <c r="BF301" s="1656"/>
      <c r="BG301" s="1656"/>
      <c r="BH301" s="1656"/>
      <c r="BI301" s="1656"/>
      <c r="BJ301" s="1656"/>
      <c r="BK301" s="1656"/>
      <c r="BL301" s="1656"/>
      <c r="BM301" s="1656"/>
      <c r="BN301" s="1656"/>
      <c r="BO301" s="1656"/>
      <c r="BP301" s="1656"/>
      <c r="BQ301" s="1656"/>
      <c r="BR301" s="1656"/>
      <c r="BS301" s="1656"/>
      <c r="BT301" s="1656"/>
      <c r="BU301" s="1656"/>
      <c r="BV301" s="1656"/>
      <c r="BW301" s="1656"/>
      <c r="BX301" s="1656"/>
      <c r="BY301" s="1656"/>
      <c r="BZ301" s="1656"/>
      <c r="CA301" s="1656"/>
      <c r="CB301" s="1656"/>
      <c r="CC301" s="1656"/>
      <c r="CD301" s="1656"/>
      <c r="CE301" s="1656"/>
      <c r="CF301" s="1656"/>
      <c r="CG301" s="1656"/>
      <c r="CH301" s="1656"/>
      <c r="CI301" s="1656"/>
      <c r="CJ301" s="1656"/>
      <c r="CK301" s="1656"/>
      <c r="CL301" s="1656"/>
      <c r="CM301" s="1656"/>
      <c r="CN301" s="1656"/>
      <c r="CO301" s="1656"/>
      <c r="CP301" s="1656"/>
      <c r="CQ301" s="1656"/>
      <c r="CR301" s="1656"/>
      <c r="CS301" s="1656"/>
      <c r="CT301" s="1656"/>
      <c r="CU301" s="1656"/>
      <c r="CV301" s="1656"/>
      <c r="CW301" s="1656"/>
      <c r="CX301" s="1656"/>
      <c r="CY301" s="1656"/>
      <c r="CZ301" s="1656"/>
      <c r="DA301" s="1656"/>
      <c r="DB301" s="1656"/>
      <c r="DC301" s="1656"/>
      <c r="DD301" s="1656"/>
      <c r="DE301" s="1656"/>
      <c r="DF301" s="1656"/>
      <c r="DG301" s="1656"/>
      <c r="DH301" s="1656"/>
      <c r="DI301" s="1656"/>
      <c r="DJ301" s="1656"/>
      <c r="DK301" s="1656"/>
      <c r="DL301" s="1656"/>
      <c r="DM301" s="1656"/>
      <c r="DN301" s="1656"/>
      <c r="DO301" s="1656"/>
      <c r="DP301" s="1656"/>
      <c r="DQ301" s="1656"/>
      <c r="DR301" s="1656"/>
      <c r="DS301" s="1656"/>
      <c r="DT301" s="1656"/>
      <c r="DU301" s="1656"/>
      <c r="DV301" s="1656"/>
      <c r="DW301" s="1656"/>
      <c r="DX301" s="1656"/>
      <c r="DY301" s="1656"/>
      <c r="DZ301" s="1656"/>
      <c r="EA301" s="1656"/>
      <c r="EB301" s="1656"/>
      <c r="EC301" s="1656"/>
      <c r="ED301" s="1656"/>
      <c r="EE301" s="1656"/>
      <c r="EF301" s="1656"/>
      <c r="EG301" s="1656"/>
      <c r="EH301" s="1656"/>
      <c r="EI301" s="1656"/>
      <c r="EJ301" s="1656"/>
      <c r="EK301" s="1656"/>
      <c r="EL301" s="1656"/>
      <c r="EM301" s="1656"/>
      <c r="EN301" s="1656"/>
      <c r="EO301" s="1656"/>
      <c r="EP301" s="1656"/>
      <c r="EQ301" s="1656"/>
      <c r="ER301" s="1656"/>
      <c r="ES301" s="1656"/>
      <c r="ET301" s="1656"/>
      <c r="EU301" s="1656"/>
      <c r="EV301" s="1656"/>
      <c r="EW301" s="1656"/>
      <c r="EX301" s="1656"/>
      <c r="EY301" s="1656"/>
      <c r="EZ301" s="1656"/>
      <c r="FA301" s="1656"/>
      <c r="FB301" s="1656"/>
      <c r="FC301" s="1656"/>
      <c r="FD301" s="1656"/>
      <c r="FE301" s="1656"/>
      <c r="FF301" s="1656"/>
    </row>
    <row r="303" spans="6:162" s="1658" customFormat="1" ht="15.75" customHeight="1">
      <c r="F303" s="1656"/>
      <c r="G303" s="1656"/>
      <c r="H303" s="1656"/>
      <c r="I303" s="1656"/>
      <c r="J303" s="1656"/>
      <c r="K303" s="1656"/>
      <c r="L303" s="1656"/>
      <c r="M303" s="1656"/>
      <c r="N303" s="1656"/>
      <c r="O303" s="1656"/>
      <c r="P303" s="1656"/>
      <c r="Q303" s="1656"/>
      <c r="R303" s="1656"/>
      <c r="S303" s="1656"/>
      <c r="T303" s="1656"/>
      <c r="U303" s="1656"/>
      <c r="V303" s="1656"/>
      <c r="W303" s="1656"/>
      <c r="X303" s="1656"/>
      <c r="Y303" s="1656"/>
      <c r="AA303" s="1656"/>
      <c r="AC303" s="1656"/>
      <c r="AD303" s="1656"/>
      <c r="AE303" s="1656"/>
      <c r="AF303" s="1656"/>
      <c r="AG303" s="1656"/>
      <c r="AH303" s="1657"/>
      <c r="AI303" s="1657"/>
      <c r="AJ303" s="1656"/>
      <c r="AK303" s="1656"/>
      <c r="AL303" s="1656"/>
      <c r="AM303" s="1656"/>
      <c r="AN303" s="1656"/>
      <c r="AO303" s="1656"/>
      <c r="AP303" s="1656"/>
      <c r="AQ303" s="1656"/>
      <c r="AR303" s="1656"/>
      <c r="AS303" s="1656"/>
      <c r="AT303" s="1656"/>
      <c r="AU303" s="1656"/>
      <c r="AV303" s="1656"/>
      <c r="AW303" s="1656"/>
      <c r="AX303" s="1656"/>
      <c r="AY303" s="1656"/>
      <c r="AZ303" s="1656"/>
      <c r="BA303" s="1656"/>
      <c r="BB303" s="1656"/>
      <c r="BC303" s="1656"/>
      <c r="BD303" s="1656"/>
      <c r="BE303" s="1656"/>
      <c r="BF303" s="1656"/>
      <c r="BG303" s="1656"/>
      <c r="BH303" s="1656"/>
      <c r="BI303" s="1656"/>
      <c r="BJ303" s="1656"/>
      <c r="BK303" s="1656"/>
      <c r="BL303" s="1656"/>
      <c r="BM303" s="1656"/>
      <c r="BN303" s="1656"/>
      <c r="BO303" s="1656"/>
      <c r="BP303" s="1656"/>
      <c r="BQ303" s="1656"/>
      <c r="BR303" s="1656"/>
      <c r="BS303" s="1656"/>
      <c r="BT303" s="1656"/>
      <c r="BU303" s="1656"/>
      <c r="BV303" s="1656"/>
      <c r="BW303" s="1656"/>
      <c r="BX303" s="1656"/>
      <c r="BY303" s="1656"/>
      <c r="BZ303" s="1656"/>
      <c r="CA303" s="1656"/>
      <c r="CB303" s="1656"/>
      <c r="CC303" s="1656"/>
      <c r="CD303" s="1656"/>
      <c r="CE303" s="1656"/>
      <c r="CF303" s="1656"/>
      <c r="CG303" s="1656"/>
      <c r="CH303" s="1656"/>
      <c r="CI303" s="1656"/>
      <c r="CJ303" s="1656"/>
      <c r="CK303" s="1656"/>
      <c r="CL303" s="1656"/>
      <c r="CM303" s="1656"/>
      <c r="CN303" s="1656"/>
      <c r="CO303" s="1656"/>
      <c r="CP303" s="1656"/>
      <c r="CQ303" s="1656"/>
      <c r="CR303" s="1656"/>
      <c r="CS303" s="1656"/>
      <c r="CT303" s="1656"/>
      <c r="CU303" s="1656"/>
      <c r="CV303" s="1656"/>
      <c r="CW303" s="1656"/>
      <c r="CX303" s="1656"/>
      <c r="CY303" s="1656"/>
      <c r="CZ303" s="1656"/>
      <c r="DA303" s="1656"/>
      <c r="DB303" s="1656"/>
      <c r="DC303" s="1656"/>
      <c r="DD303" s="1656"/>
      <c r="DE303" s="1656"/>
      <c r="DF303" s="1656"/>
      <c r="DG303" s="1656"/>
      <c r="DH303" s="1656"/>
      <c r="DI303" s="1656"/>
      <c r="DJ303" s="1656"/>
      <c r="DK303" s="1656"/>
      <c r="DL303" s="1656"/>
      <c r="DM303" s="1656"/>
      <c r="DN303" s="1656"/>
      <c r="DO303" s="1656"/>
      <c r="DP303" s="1656"/>
      <c r="DQ303" s="1656"/>
      <c r="DR303" s="1656"/>
      <c r="DS303" s="1656"/>
      <c r="DT303" s="1656"/>
      <c r="DU303" s="1656"/>
      <c r="DV303" s="1656"/>
      <c r="DW303" s="1656"/>
      <c r="DX303" s="1656"/>
      <c r="DY303" s="1656"/>
      <c r="DZ303" s="1656"/>
      <c r="EA303" s="1656"/>
      <c r="EB303" s="1656"/>
      <c r="EC303" s="1656"/>
      <c r="ED303" s="1656"/>
      <c r="EE303" s="1656"/>
      <c r="EF303" s="1656"/>
      <c r="EG303" s="1656"/>
      <c r="EH303" s="1656"/>
      <c r="EI303" s="1656"/>
      <c r="EJ303" s="1656"/>
      <c r="EK303" s="1656"/>
      <c r="EL303" s="1656"/>
      <c r="EM303" s="1656"/>
      <c r="EN303" s="1656"/>
      <c r="EO303" s="1656"/>
      <c r="EP303" s="1656"/>
      <c r="EQ303" s="1656"/>
      <c r="ER303" s="1656"/>
      <c r="ES303" s="1656"/>
      <c r="ET303" s="1656"/>
      <c r="EU303" s="1656"/>
      <c r="EV303" s="1656"/>
      <c r="EW303" s="1656"/>
      <c r="EX303" s="1656"/>
      <c r="EY303" s="1656"/>
      <c r="EZ303" s="1656"/>
      <c r="FA303" s="1656"/>
      <c r="FB303" s="1656"/>
      <c r="FC303" s="1656"/>
      <c r="FD303" s="1656"/>
      <c r="FE303" s="1656"/>
      <c r="FF303" s="1656"/>
    </row>
    <row r="305" spans="6:162" s="1658" customFormat="1" ht="15.75" customHeight="1">
      <c r="F305" s="1656"/>
      <c r="G305" s="1656"/>
      <c r="H305" s="1656"/>
      <c r="I305" s="1656"/>
      <c r="J305" s="1656"/>
      <c r="K305" s="1656"/>
      <c r="L305" s="1656"/>
      <c r="M305" s="1656"/>
      <c r="N305" s="1656"/>
      <c r="O305" s="1656"/>
      <c r="P305" s="1656"/>
      <c r="Q305" s="1656"/>
      <c r="R305" s="1656"/>
      <c r="S305" s="1656"/>
      <c r="T305" s="1656"/>
      <c r="U305" s="1656"/>
      <c r="V305" s="1656"/>
      <c r="W305" s="1656"/>
      <c r="X305" s="1656"/>
      <c r="Y305" s="1656"/>
      <c r="AA305" s="1656"/>
      <c r="AC305" s="1656"/>
      <c r="AD305" s="1656"/>
      <c r="AE305" s="1656"/>
      <c r="AF305" s="1656"/>
      <c r="AG305" s="1656"/>
      <c r="AH305" s="1657"/>
      <c r="AI305" s="1657"/>
      <c r="AJ305" s="1656"/>
      <c r="AK305" s="1656"/>
      <c r="AL305" s="1656"/>
      <c r="AM305" s="1656"/>
      <c r="AN305" s="1656"/>
      <c r="AO305" s="1656"/>
      <c r="AP305" s="1656"/>
      <c r="AQ305" s="1656"/>
      <c r="AR305" s="1656"/>
      <c r="AS305" s="1656"/>
      <c r="AT305" s="1656"/>
      <c r="AU305" s="1656"/>
      <c r="AV305" s="1656"/>
      <c r="AW305" s="1656"/>
      <c r="AX305" s="1656"/>
      <c r="AY305" s="1656"/>
      <c r="AZ305" s="1656"/>
      <c r="BA305" s="1656"/>
      <c r="BB305" s="1656"/>
      <c r="BC305" s="1656"/>
      <c r="BD305" s="1656"/>
      <c r="BE305" s="1656"/>
      <c r="BF305" s="1656"/>
      <c r="BG305" s="1656"/>
      <c r="BH305" s="1656"/>
      <c r="BI305" s="1656"/>
      <c r="BJ305" s="1656"/>
      <c r="BK305" s="1656"/>
      <c r="BL305" s="1656"/>
      <c r="BM305" s="1656"/>
      <c r="BN305" s="1656"/>
      <c r="BO305" s="1656"/>
      <c r="BP305" s="1656"/>
      <c r="BQ305" s="1656"/>
      <c r="BR305" s="1656"/>
      <c r="BS305" s="1656"/>
      <c r="BT305" s="1656"/>
      <c r="BU305" s="1656"/>
      <c r="BV305" s="1656"/>
      <c r="BW305" s="1656"/>
      <c r="BX305" s="1656"/>
      <c r="BY305" s="1656"/>
      <c r="BZ305" s="1656"/>
      <c r="CA305" s="1656"/>
      <c r="CB305" s="1656"/>
      <c r="CC305" s="1656"/>
      <c r="CD305" s="1656"/>
      <c r="CE305" s="1656"/>
      <c r="CF305" s="1656"/>
      <c r="CG305" s="1656"/>
      <c r="CH305" s="1656"/>
      <c r="CI305" s="1656"/>
      <c r="CJ305" s="1656"/>
      <c r="CK305" s="1656"/>
      <c r="CL305" s="1656"/>
      <c r="CM305" s="1656"/>
      <c r="CN305" s="1656"/>
      <c r="CO305" s="1656"/>
      <c r="CP305" s="1656"/>
      <c r="CQ305" s="1656"/>
      <c r="CR305" s="1656"/>
      <c r="CS305" s="1656"/>
      <c r="CT305" s="1656"/>
      <c r="CU305" s="1656"/>
      <c r="CV305" s="1656"/>
      <c r="CW305" s="1656"/>
      <c r="CX305" s="1656"/>
      <c r="CY305" s="1656"/>
      <c r="CZ305" s="1656"/>
      <c r="DA305" s="1656"/>
      <c r="DB305" s="1656"/>
      <c r="DC305" s="1656"/>
      <c r="DD305" s="1656"/>
      <c r="DE305" s="1656"/>
      <c r="DF305" s="1656"/>
      <c r="DG305" s="1656"/>
      <c r="DH305" s="1656"/>
      <c r="DI305" s="1656"/>
      <c r="DJ305" s="1656"/>
      <c r="DK305" s="1656"/>
      <c r="DL305" s="1656"/>
      <c r="DM305" s="1656"/>
      <c r="DN305" s="1656"/>
      <c r="DO305" s="1656"/>
      <c r="DP305" s="1656"/>
      <c r="DQ305" s="1656"/>
      <c r="DR305" s="1656"/>
      <c r="DS305" s="1656"/>
      <c r="DT305" s="1656"/>
      <c r="DU305" s="1656"/>
      <c r="DV305" s="1656"/>
      <c r="DW305" s="1656"/>
      <c r="DX305" s="1656"/>
      <c r="DY305" s="1656"/>
      <c r="DZ305" s="1656"/>
      <c r="EA305" s="1656"/>
      <c r="EB305" s="1656"/>
      <c r="EC305" s="1656"/>
      <c r="ED305" s="1656"/>
      <c r="EE305" s="1656"/>
      <c r="EF305" s="1656"/>
      <c r="EG305" s="1656"/>
      <c r="EH305" s="1656"/>
      <c r="EI305" s="1656"/>
      <c r="EJ305" s="1656"/>
      <c r="EK305" s="1656"/>
      <c r="EL305" s="1656"/>
      <c r="EM305" s="1656"/>
      <c r="EN305" s="1656"/>
      <c r="EO305" s="1656"/>
      <c r="EP305" s="1656"/>
      <c r="EQ305" s="1656"/>
      <c r="ER305" s="1656"/>
      <c r="ES305" s="1656"/>
      <c r="ET305" s="1656"/>
      <c r="EU305" s="1656"/>
      <c r="EV305" s="1656"/>
      <c r="EW305" s="1656"/>
      <c r="EX305" s="1656"/>
      <c r="EY305" s="1656"/>
      <c r="EZ305" s="1656"/>
      <c r="FA305" s="1656"/>
      <c r="FB305" s="1656"/>
      <c r="FC305" s="1656"/>
      <c r="FD305" s="1656"/>
      <c r="FE305" s="1656"/>
      <c r="FF305" s="1656"/>
    </row>
    <row r="307" spans="6:162" s="1658" customFormat="1" ht="15.75" customHeight="1">
      <c r="F307" s="1656"/>
      <c r="G307" s="1656"/>
      <c r="H307" s="1656"/>
      <c r="I307" s="1656"/>
      <c r="J307" s="1656"/>
      <c r="K307" s="1656"/>
      <c r="L307" s="1656"/>
      <c r="M307" s="1656"/>
      <c r="N307" s="1656"/>
      <c r="O307" s="1656"/>
      <c r="P307" s="1656"/>
      <c r="Q307" s="1656"/>
      <c r="R307" s="1656"/>
      <c r="S307" s="1656"/>
      <c r="T307" s="1656"/>
      <c r="U307" s="1656"/>
      <c r="V307" s="1656"/>
      <c r="W307" s="1656"/>
      <c r="X307" s="1656"/>
      <c r="Y307" s="1656"/>
      <c r="AA307" s="1656"/>
      <c r="AC307" s="1656"/>
      <c r="AD307" s="1656"/>
      <c r="AE307" s="1656"/>
      <c r="AF307" s="1656"/>
      <c r="AG307" s="1656"/>
      <c r="AH307" s="1657"/>
      <c r="AI307" s="1657"/>
      <c r="AJ307" s="1656"/>
      <c r="AK307" s="1656"/>
      <c r="AL307" s="1656"/>
      <c r="AM307" s="1656"/>
      <c r="AN307" s="1656"/>
      <c r="AO307" s="1656"/>
      <c r="AP307" s="1656"/>
      <c r="AQ307" s="1656"/>
      <c r="AR307" s="1656"/>
      <c r="AS307" s="1656"/>
      <c r="AT307" s="1656"/>
      <c r="AU307" s="1656"/>
      <c r="AV307" s="1656"/>
      <c r="AW307" s="1656"/>
      <c r="AX307" s="1656"/>
      <c r="AY307" s="1656"/>
      <c r="AZ307" s="1656"/>
      <c r="BA307" s="1656"/>
      <c r="BB307" s="1656"/>
      <c r="BC307" s="1656"/>
      <c r="BD307" s="1656"/>
      <c r="BE307" s="1656"/>
      <c r="BF307" s="1656"/>
      <c r="BG307" s="1656"/>
      <c r="BH307" s="1656"/>
      <c r="BI307" s="1656"/>
      <c r="BJ307" s="1656"/>
      <c r="BK307" s="1656"/>
      <c r="BL307" s="1656"/>
      <c r="BM307" s="1656"/>
      <c r="BN307" s="1656"/>
      <c r="BO307" s="1656"/>
      <c r="BP307" s="1656"/>
      <c r="BQ307" s="1656"/>
      <c r="BR307" s="1656"/>
      <c r="BS307" s="1656"/>
      <c r="BT307" s="1656"/>
      <c r="BU307" s="1656"/>
      <c r="BV307" s="1656"/>
      <c r="BW307" s="1656"/>
      <c r="BX307" s="1656"/>
      <c r="BY307" s="1656"/>
      <c r="BZ307" s="1656"/>
      <c r="CA307" s="1656"/>
      <c r="CB307" s="1656"/>
      <c r="CC307" s="1656"/>
      <c r="CD307" s="1656"/>
      <c r="CE307" s="1656"/>
      <c r="CF307" s="1656"/>
      <c r="CG307" s="1656"/>
      <c r="CH307" s="1656"/>
      <c r="CI307" s="1656"/>
      <c r="CJ307" s="1656"/>
      <c r="CK307" s="1656"/>
      <c r="CL307" s="1656"/>
      <c r="CM307" s="1656"/>
      <c r="CN307" s="1656"/>
      <c r="CO307" s="1656"/>
      <c r="CP307" s="1656"/>
      <c r="CQ307" s="1656"/>
      <c r="CR307" s="1656"/>
      <c r="CS307" s="1656"/>
      <c r="CT307" s="1656"/>
      <c r="CU307" s="1656"/>
      <c r="CV307" s="1656"/>
      <c r="CW307" s="1656"/>
      <c r="CX307" s="1656"/>
      <c r="CY307" s="1656"/>
      <c r="CZ307" s="1656"/>
      <c r="DA307" s="1656"/>
      <c r="DB307" s="1656"/>
      <c r="DC307" s="1656"/>
      <c r="DD307" s="1656"/>
      <c r="DE307" s="1656"/>
      <c r="DF307" s="1656"/>
      <c r="DG307" s="1656"/>
      <c r="DH307" s="1656"/>
      <c r="DI307" s="1656"/>
      <c r="DJ307" s="1656"/>
      <c r="DK307" s="1656"/>
      <c r="DL307" s="1656"/>
      <c r="DM307" s="1656"/>
      <c r="DN307" s="1656"/>
      <c r="DO307" s="1656"/>
      <c r="DP307" s="1656"/>
      <c r="DQ307" s="1656"/>
      <c r="DR307" s="1656"/>
      <c r="DS307" s="1656"/>
      <c r="DT307" s="1656"/>
      <c r="DU307" s="1656"/>
      <c r="DV307" s="1656"/>
      <c r="DW307" s="1656"/>
      <c r="DX307" s="1656"/>
      <c r="DY307" s="1656"/>
      <c r="DZ307" s="1656"/>
      <c r="EA307" s="1656"/>
      <c r="EB307" s="1656"/>
      <c r="EC307" s="1656"/>
      <c r="ED307" s="1656"/>
      <c r="EE307" s="1656"/>
      <c r="EF307" s="1656"/>
      <c r="EG307" s="1656"/>
      <c r="EH307" s="1656"/>
      <c r="EI307" s="1656"/>
      <c r="EJ307" s="1656"/>
      <c r="EK307" s="1656"/>
      <c r="EL307" s="1656"/>
      <c r="EM307" s="1656"/>
      <c r="EN307" s="1656"/>
      <c r="EO307" s="1656"/>
      <c r="EP307" s="1656"/>
      <c r="EQ307" s="1656"/>
      <c r="ER307" s="1656"/>
      <c r="ES307" s="1656"/>
      <c r="ET307" s="1656"/>
      <c r="EU307" s="1656"/>
      <c r="EV307" s="1656"/>
      <c r="EW307" s="1656"/>
      <c r="EX307" s="1656"/>
      <c r="EY307" s="1656"/>
      <c r="EZ307" s="1656"/>
      <c r="FA307" s="1656"/>
      <c r="FB307" s="1656"/>
      <c r="FC307" s="1656"/>
      <c r="FD307" s="1656"/>
      <c r="FE307" s="1656"/>
      <c r="FF307" s="1656"/>
    </row>
    <row r="309" spans="6:162" s="1658" customFormat="1" ht="15.75" customHeight="1">
      <c r="F309" s="1656"/>
      <c r="G309" s="1656"/>
      <c r="H309" s="1656"/>
      <c r="I309" s="1656"/>
      <c r="J309" s="1656"/>
      <c r="K309" s="1656"/>
      <c r="L309" s="1656"/>
      <c r="M309" s="1656"/>
      <c r="N309" s="1656"/>
      <c r="O309" s="1656"/>
      <c r="P309" s="1656"/>
      <c r="Q309" s="1656"/>
      <c r="R309" s="1656"/>
      <c r="S309" s="1656"/>
      <c r="T309" s="1656"/>
      <c r="U309" s="1656"/>
      <c r="V309" s="1656"/>
      <c r="W309" s="1656"/>
      <c r="X309" s="1656"/>
      <c r="Y309" s="1656"/>
      <c r="AA309" s="1656"/>
      <c r="AC309" s="1656"/>
      <c r="AD309" s="1656"/>
      <c r="AE309" s="1656"/>
      <c r="AF309" s="1656"/>
      <c r="AG309" s="1656"/>
      <c r="AH309" s="1657"/>
      <c r="AI309" s="1657"/>
      <c r="AJ309" s="1656"/>
      <c r="AK309" s="1656"/>
      <c r="AL309" s="1656"/>
      <c r="AM309" s="1656"/>
      <c r="AN309" s="1656"/>
      <c r="AO309" s="1656"/>
      <c r="AP309" s="1656"/>
      <c r="AQ309" s="1656"/>
      <c r="AR309" s="1656"/>
      <c r="AS309" s="1656"/>
      <c r="AT309" s="1656"/>
      <c r="AU309" s="1656"/>
      <c r="AV309" s="1656"/>
      <c r="AW309" s="1656"/>
      <c r="AX309" s="1656"/>
      <c r="AY309" s="1656"/>
      <c r="AZ309" s="1656"/>
      <c r="BA309" s="1656"/>
      <c r="BB309" s="1656"/>
      <c r="BC309" s="1656"/>
      <c r="BD309" s="1656"/>
      <c r="BE309" s="1656"/>
      <c r="BF309" s="1656"/>
      <c r="BG309" s="1656"/>
      <c r="BH309" s="1656"/>
      <c r="BI309" s="1656"/>
      <c r="BJ309" s="1656"/>
      <c r="BK309" s="1656"/>
      <c r="BL309" s="1656"/>
      <c r="BM309" s="1656"/>
      <c r="BN309" s="1656"/>
      <c r="BO309" s="1656"/>
      <c r="BP309" s="1656"/>
      <c r="BQ309" s="1656"/>
      <c r="BR309" s="1656"/>
      <c r="BS309" s="1656"/>
      <c r="BT309" s="1656"/>
      <c r="BU309" s="1656"/>
      <c r="BV309" s="1656"/>
      <c r="BW309" s="1656"/>
      <c r="BX309" s="1656"/>
      <c r="BY309" s="1656"/>
      <c r="BZ309" s="1656"/>
      <c r="CA309" s="1656"/>
      <c r="CB309" s="1656"/>
      <c r="CC309" s="1656"/>
      <c r="CD309" s="1656"/>
      <c r="CE309" s="1656"/>
      <c r="CF309" s="1656"/>
      <c r="CG309" s="1656"/>
      <c r="CH309" s="1656"/>
      <c r="CI309" s="1656"/>
      <c r="CJ309" s="1656"/>
      <c r="CK309" s="1656"/>
      <c r="CL309" s="1656"/>
      <c r="CM309" s="1656"/>
      <c r="CN309" s="1656"/>
      <c r="CO309" s="1656"/>
      <c r="CP309" s="1656"/>
      <c r="CQ309" s="1656"/>
      <c r="CR309" s="1656"/>
      <c r="CS309" s="1656"/>
      <c r="CT309" s="1656"/>
      <c r="CU309" s="1656"/>
      <c r="CV309" s="1656"/>
      <c r="CW309" s="1656"/>
      <c r="CX309" s="1656"/>
      <c r="CY309" s="1656"/>
      <c r="CZ309" s="1656"/>
      <c r="DA309" s="1656"/>
      <c r="DB309" s="1656"/>
      <c r="DC309" s="1656"/>
      <c r="DD309" s="1656"/>
      <c r="DE309" s="1656"/>
      <c r="DF309" s="1656"/>
      <c r="DG309" s="1656"/>
      <c r="DH309" s="1656"/>
      <c r="DI309" s="1656"/>
      <c r="DJ309" s="1656"/>
      <c r="DK309" s="1656"/>
      <c r="DL309" s="1656"/>
      <c r="DM309" s="1656"/>
      <c r="DN309" s="1656"/>
      <c r="DO309" s="1656"/>
      <c r="DP309" s="1656"/>
      <c r="DQ309" s="1656"/>
      <c r="DR309" s="1656"/>
      <c r="DS309" s="1656"/>
      <c r="DT309" s="1656"/>
      <c r="DU309" s="1656"/>
      <c r="DV309" s="1656"/>
      <c r="DW309" s="1656"/>
      <c r="DX309" s="1656"/>
      <c r="DY309" s="1656"/>
      <c r="DZ309" s="1656"/>
      <c r="EA309" s="1656"/>
      <c r="EB309" s="1656"/>
      <c r="EC309" s="1656"/>
      <c r="ED309" s="1656"/>
      <c r="EE309" s="1656"/>
      <c r="EF309" s="1656"/>
      <c r="EG309" s="1656"/>
      <c r="EH309" s="1656"/>
      <c r="EI309" s="1656"/>
      <c r="EJ309" s="1656"/>
      <c r="EK309" s="1656"/>
      <c r="EL309" s="1656"/>
      <c r="EM309" s="1656"/>
      <c r="EN309" s="1656"/>
      <c r="EO309" s="1656"/>
      <c r="EP309" s="1656"/>
      <c r="EQ309" s="1656"/>
      <c r="ER309" s="1656"/>
      <c r="ES309" s="1656"/>
      <c r="ET309" s="1656"/>
      <c r="EU309" s="1656"/>
      <c r="EV309" s="1656"/>
      <c r="EW309" s="1656"/>
      <c r="EX309" s="1656"/>
      <c r="EY309" s="1656"/>
      <c r="EZ309" s="1656"/>
      <c r="FA309" s="1656"/>
      <c r="FB309" s="1656"/>
      <c r="FC309" s="1656"/>
      <c r="FD309" s="1656"/>
      <c r="FE309" s="1656"/>
      <c r="FF309" s="1656"/>
    </row>
    <row r="311" spans="6:162" s="1658" customFormat="1" ht="15.75" customHeight="1">
      <c r="F311" s="1656"/>
      <c r="G311" s="1656"/>
      <c r="H311" s="1656"/>
      <c r="I311" s="1656"/>
      <c r="J311" s="1656"/>
      <c r="K311" s="1656"/>
      <c r="L311" s="1656"/>
      <c r="M311" s="1656"/>
      <c r="N311" s="1656"/>
      <c r="O311" s="1656"/>
      <c r="P311" s="1656"/>
      <c r="Q311" s="1656"/>
      <c r="R311" s="1656"/>
      <c r="S311" s="1656"/>
      <c r="T311" s="1656"/>
      <c r="U311" s="1656"/>
      <c r="V311" s="1656"/>
      <c r="W311" s="1656"/>
      <c r="X311" s="1656"/>
      <c r="Y311" s="1656"/>
      <c r="AA311" s="1656"/>
      <c r="AC311" s="1656"/>
      <c r="AD311" s="1656"/>
      <c r="AE311" s="1656"/>
      <c r="AF311" s="1656"/>
      <c r="AG311" s="1656"/>
      <c r="AH311" s="1657"/>
      <c r="AI311" s="1657"/>
      <c r="AJ311" s="1656"/>
      <c r="AK311" s="1656"/>
      <c r="AL311" s="1656"/>
      <c r="AM311" s="1656"/>
      <c r="AN311" s="1656"/>
      <c r="AO311" s="1656"/>
      <c r="AP311" s="1656"/>
      <c r="AQ311" s="1656"/>
      <c r="AR311" s="1656"/>
      <c r="AS311" s="1656"/>
      <c r="AT311" s="1656"/>
      <c r="AU311" s="1656"/>
      <c r="AV311" s="1656"/>
      <c r="AW311" s="1656"/>
      <c r="AX311" s="1656"/>
      <c r="AY311" s="1656"/>
      <c r="AZ311" s="1656"/>
      <c r="BA311" s="1656"/>
      <c r="BB311" s="1656"/>
      <c r="BC311" s="1656"/>
      <c r="BD311" s="1656"/>
      <c r="BE311" s="1656"/>
      <c r="BF311" s="1656"/>
      <c r="BG311" s="1656"/>
      <c r="BH311" s="1656"/>
      <c r="BI311" s="1656"/>
      <c r="BJ311" s="1656"/>
      <c r="BK311" s="1656"/>
      <c r="BL311" s="1656"/>
      <c r="BM311" s="1656"/>
      <c r="BN311" s="1656"/>
      <c r="BO311" s="1656"/>
      <c r="BP311" s="1656"/>
      <c r="BQ311" s="1656"/>
      <c r="BR311" s="1656"/>
      <c r="BS311" s="1656"/>
      <c r="BT311" s="1656"/>
      <c r="BU311" s="1656"/>
      <c r="BV311" s="1656"/>
      <c r="BW311" s="1656"/>
      <c r="BX311" s="1656"/>
      <c r="BY311" s="1656"/>
      <c r="BZ311" s="1656"/>
      <c r="CA311" s="1656"/>
      <c r="CB311" s="1656"/>
      <c r="CC311" s="1656"/>
      <c r="CD311" s="1656"/>
      <c r="CE311" s="1656"/>
      <c r="CF311" s="1656"/>
      <c r="CG311" s="1656"/>
      <c r="CH311" s="1656"/>
      <c r="CI311" s="1656"/>
      <c r="CJ311" s="1656"/>
      <c r="CK311" s="1656"/>
      <c r="CL311" s="1656"/>
      <c r="CM311" s="1656"/>
      <c r="CN311" s="1656"/>
      <c r="CO311" s="1656"/>
      <c r="CP311" s="1656"/>
      <c r="CQ311" s="1656"/>
      <c r="CR311" s="1656"/>
      <c r="CS311" s="1656"/>
      <c r="CT311" s="1656"/>
      <c r="CU311" s="1656"/>
      <c r="CV311" s="1656"/>
      <c r="CW311" s="1656"/>
      <c r="CX311" s="1656"/>
      <c r="CY311" s="1656"/>
      <c r="CZ311" s="1656"/>
      <c r="DA311" s="1656"/>
      <c r="DB311" s="1656"/>
      <c r="DC311" s="1656"/>
      <c r="DD311" s="1656"/>
      <c r="DE311" s="1656"/>
      <c r="DF311" s="1656"/>
      <c r="DG311" s="1656"/>
      <c r="DH311" s="1656"/>
      <c r="DI311" s="1656"/>
      <c r="DJ311" s="1656"/>
      <c r="DK311" s="1656"/>
      <c r="DL311" s="1656"/>
      <c r="DM311" s="1656"/>
      <c r="DN311" s="1656"/>
      <c r="DO311" s="1656"/>
      <c r="DP311" s="1656"/>
      <c r="DQ311" s="1656"/>
      <c r="DR311" s="1656"/>
      <c r="DS311" s="1656"/>
      <c r="DT311" s="1656"/>
      <c r="DU311" s="1656"/>
      <c r="DV311" s="1656"/>
      <c r="DW311" s="1656"/>
      <c r="DX311" s="1656"/>
      <c r="DY311" s="1656"/>
      <c r="DZ311" s="1656"/>
      <c r="EA311" s="1656"/>
      <c r="EB311" s="1656"/>
      <c r="EC311" s="1656"/>
      <c r="ED311" s="1656"/>
      <c r="EE311" s="1656"/>
      <c r="EF311" s="1656"/>
      <c r="EG311" s="1656"/>
      <c r="EH311" s="1656"/>
      <c r="EI311" s="1656"/>
      <c r="EJ311" s="1656"/>
      <c r="EK311" s="1656"/>
      <c r="EL311" s="1656"/>
      <c r="EM311" s="1656"/>
      <c r="EN311" s="1656"/>
      <c r="EO311" s="1656"/>
      <c r="EP311" s="1656"/>
      <c r="EQ311" s="1656"/>
      <c r="ER311" s="1656"/>
      <c r="ES311" s="1656"/>
      <c r="ET311" s="1656"/>
      <c r="EU311" s="1656"/>
      <c r="EV311" s="1656"/>
      <c r="EW311" s="1656"/>
      <c r="EX311" s="1656"/>
      <c r="EY311" s="1656"/>
      <c r="EZ311" s="1656"/>
      <c r="FA311" s="1656"/>
      <c r="FB311" s="1656"/>
      <c r="FC311" s="1656"/>
      <c r="FD311" s="1656"/>
      <c r="FE311" s="1656"/>
      <c r="FF311" s="1656"/>
    </row>
    <row r="313" spans="6:162" s="1658" customFormat="1" ht="15.75" customHeight="1">
      <c r="F313" s="1656"/>
      <c r="G313" s="1656"/>
      <c r="H313" s="1656"/>
      <c r="I313" s="1656"/>
      <c r="J313" s="1656"/>
      <c r="K313" s="1656"/>
      <c r="L313" s="1656"/>
      <c r="M313" s="1656"/>
      <c r="N313" s="1656"/>
      <c r="O313" s="1656"/>
      <c r="P313" s="1656"/>
      <c r="Q313" s="1656"/>
      <c r="R313" s="1656"/>
      <c r="S313" s="1656"/>
      <c r="T313" s="1656"/>
      <c r="U313" s="1656"/>
      <c r="V313" s="1656"/>
      <c r="W313" s="1656"/>
      <c r="X313" s="1656"/>
      <c r="Y313" s="1656"/>
      <c r="AA313" s="1656"/>
      <c r="AC313" s="1656"/>
      <c r="AD313" s="1656"/>
      <c r="AE313" s="1656"/>
      <c r="AF313" s="1656"/>
      <c r="AG313" s="1656"/>
      <c r="AH313" s="1657"/>
      <c r="AI313" s="1657"/>
      <c r="AJ313" s="1656"/>
      <c r="AK313" s="1656"/>
      <c r="AL313" s="1656"/>
      <c r="AM313" s="1656"/>
      <c r="AN313" s="1656"/>
      <c r="AO313" s="1656"/>
      <c r="AP313" s="1656"/>
      <c r="AQ313" s="1656"/>
      <c r="AR313" s="1656"/>
      <c r="AS313" s="1656"/>
      <c r="AT313" s="1656"/>
      <c r="AU313" s="1656"/>
      <c r="AV313" s="1656"/>
      <c r="AW313" s="1656"/>
      <c r="AX313" s="1656"/>
      <c r="AY313" s="1656"/>
      <c r="AZ313" s="1656"/>
      <c r="BA313" s="1656"/>
      <c r="BB313" s="1656"/>
      <c r="BC313" s="1656"/>
      <c r="BD313" s="1656"/>
      <c r="BE313" s="1656"/>
      <c r="BF313" s="1656"/>
      <c r="BG313" s="1656"/>
      <c r="BH313" s="1656"/>
      <c r="BI313" s="1656"/>
      <c r="BJ313" s="1656"/>
      <c r="BK313" s="1656"/>
      <c r="BL313" s="1656"/>
      <c r="BM313" s="1656"/>
      <c r="BN313" s="1656"/>
      <c r="BO313" s="1656"/>
      <c r="BP313" s="1656"/>
      <c r="BQ313" s="1656"/>
      <c r="BR313" s="1656"/>
      <c r="BS313" s="1656"/>
      <c r="BT313" s="1656"/>
      <c r="BU313" s="1656"/>
      <c r="BV313" s="1656"/>
      <c r="BW313" s="1656"/>
      <c r="BX313" s="1656"/>
      <c r="BY313" s="1656"/>
      <c r="BZ313" s="1656"/>
      <c r="CA313" s="1656"/>
      <c r="CB313" s="1656"/>
      <c r="CC313" s="1656"/>
      <c r="CD313" s="1656"/>
      <c r="CE313" s="1656"/>
      <c r="CF313" s="1656"/>
      <c r="CG313" s="1656"/>
      <c r="CH313" s="1656"/>
      <c r="CI313" s="1656"/>
      <c r="CJ313" s="1656"/>
      <c r="CK313" s="1656"/>
      <c r="CL313" s="1656"/>
      <c r="CM313" s="1656"/>
      <c r="CN313" s="1656"/>
      <c r="CO313" s="1656"/>
      <c r="CP313" s="1656"/>
      <c r="CQ313" s="1656"/>
      <c r="CR313" s="1656"/>
      <c r="CS313" s="1656"/>
      <c r="CT313" s="1656"/>
      <c r="CU313" s="1656"/>
      <c r="CV313" s="1656"/>
      <c r="CW313" s="1656"/>
      <c r="CX313" s="1656"/>
      <c r="CY313" s="1656"/>
      <c r="CZ313" s="1656"/>
      <c r="DA313" s="1656"/>
      <c r="DB313" s="1656"/>
      <c r="DC313" s="1656"/>
      <c r="DD313" s="1656"/>
      <c r="DE313" s="1656"/>
      <c r="DF313" s="1656"/>
      <c r="DG313" s="1656"/>
      <c r="DH313" s="1656"/>
      <c r="DI313" s="1656"/>
      <c r="DJ313" s="1656"/>
      <c r="DK313" s="1656"/>
      <c r="DL313" s="1656"/>
      <c r="DM313" s="1656"/>
      <c r="DN313" s="1656"/>
      <c r="DO313" s="1656"/>
      <c r="DP313" s="1656"/>
      <c r="DQ313" s="1656"/>
      <c r="DR313" s="1656"/>
      <c r="DS313" s="1656"/>
      <c r="DT313" s="1656"/>
      <c r="DU313" s="1656"/>
      <c r="DV313" s="1656"/>
      <c r="DW313" s="1656"/>
      <c r="DX313" s="1656"/>
      <c r="DY313" s="1656"/>
      <c r="DZ313" s="1656"/>
      <c r="EA313" s="1656"/>
      <c r="EB313" s="1656"/>
      <c r="EC313" s="1656"/>
      <c r="ED313" s="1656"/>
      <c r="EE313" s="1656"/>
      <c r="EF313" s="1656"/>
      <c r="EG313" s="1656"/>
      <c r="EH313" s="1656"/>
      <c r="EI313" s="1656"/>
      <c r="EJ313" s="1656"/>
      <c r="EK313" s="1656"/>
      <c r="EL313" s="1656"/>
      <c r="EM313" s="1656"/>
      <c r="EN313" s="1656"/>
      <c r="EO313" s="1656"/>
      <c r="EP313" s="1656"/>
      <c r="EQ313" s="1656"/>
      <c r="ER313" s="1656"/>
      <c r="ES313" s="1656"/>
      <c r="ET313" s="1656"/>
      <c r="EU313" s="1656"/>
      <c r="EV313" s="1656"/>
      <c r="EW313" s="1656"/>
      <c r="EX313" s="1656"/>
      <c r="EY313" s="1656"/>
      <c r="EZ313" s="1656"/>
      <c r="FA313" s="1656"/>
      <c r="FB313" s="1656"/>
      <c r="FC313" s="1656"/>
      <c r="FD313" s="1656"/>
      <c r="FE313" s="1656"/>
      <c r="FF313" s="1656"/>
    </row>
    <row r="315" spans="6:162" s="1658" customFormat="1" ht="15.75" customHeight="1">
      <c r="F315" s="1656"/>
      <c r="G315" s="1656"/>
      <c r="H315" s="1656"/>
      <c r="I315" s="1656"/>
      <c r="J315" s="1656"/>
      <c r="K315" s="1656"/>
      <c r="L315" s="1656"/>
      <c r="M315" s="1656"/>
      <c r="N315" s="1656"/>
      <c r="O315" s="1656"/>
      <c r="P315" s="1656"/>
      <c r="Q315" s="1656"/>
      <c r="R315" s="1656"/>
      <c r="S315" s="1656"/>
      <c r="T315" s="1656"/>
      <c r="U315" s="1656"/>
      <c r="V315" s="1656"/>
      <c r="W315" s="1656"/>
      <c r="X315" s="1656"/>
      <c r="Y315" s="1656"/>
      <c r="AA315" s="1656"/>
      <c r="AC315" s="1656"/>
      <c r="AD315" s="1656"/>
      <c r="AE315" s="1656"/>
      <c r="AF315" s="1656"/>
      <c r="AG315" s="1656"/>
      <c r="AH315" s="1657"/>
      <c r="AI315" s="1657"/>
      <c r="AJ315" s="1656"/>
      <c r="AK315" s="1656"/>
      <c r="AL315" s="1656"/>
      <c r="AM315" s="1656"/>
      <c r="AN315" s="1656"/>
      <c r="AO315" s="1656"/>
      <c r="AP315" s="1656"/>
      <c r="AQ315" s="1656"/>
      <c r="AR315" s="1656"/>
      <c r="AS315" s="1656"/>
      <c r="AT315" s="1656"/>
      <c r="AU315" s="1656"/>
      <c r="AV315" s="1656"/>
      <c r="AW315" s="1656"/>
      <c r="AX315" s="1656"/>
      <c r="AY315" s="1656"/>
      <c r="AZ315" s="1656"/>
      <c r="BA315" s="1656"/>
      <c r="BB315" s="1656"/>
      <c r="BC315" s="1656"/>
      <c r="BD315" s="1656"/>
      <c r="BE315" s="1656"/>
      <c r="BF315" s="1656"/>
      <c r="BG315" s="1656"/>
      <c r="BH315" s="1656"/>
      <c r="BI315" s="1656"/>
      <c r="BJ315" s="1656"/>
      <c r="BK315" s="1656"/>
      <c r="BL315" s="1656"/>
      <c r="BM315" s="1656"/>
      <c r="BN315" s="1656"/>
      <c r="BO315" s="1656"/>
      <c r="BP315" s="1656"/>
      <c r="BQ315" s="1656"/>
      <c r="BR315" s="1656"/>
      <c r="BS315" s="1656"/>
      <c r="BT315" s="1656"/>
      <c r="BU315" s="1656"/>
      <c r="BV315" s="1656"/>
      <c r="BW315" s="1656"/>
      <c r="BX315" s="1656"/>
      <c r="BY315" s="1656"/>
      <c r="BZ315" s="1656"/>
      <c r="CA315" s="1656"/>
      <c r="CB315" s="1656"/>
      <c r="CC315" s="1656"/>
      <c r="CD315" s="1656"/>
      <c r="CE315" s="1656"/>
      <c r="CF315" s="1656"/>
      <c r="CG315" s="1656"/>
      <c r="CH315" s="1656"/>
      <c r="CI315" s="1656"/>
      <c r="CJ315" s="1656"/>
      <c r="CK315" s="1656"/>
      <c r="CL315" s="1656"/>
      <c r="CM315" s="1656"/>
      <c r="CN315" s="1656"/>
      <c r="CO315" s="1656"/>
      <c r="CP315" s="1656"/>
      <c r="CQ315" s="1656"/>
      <c r="CR315" s="1656"/>
      <c r="CS315" s="1656"/>
      <c r="CT315" s="1656"/>
      <c r="CU315" s="1656"/>
      <c r="CV315" s="1656"/>
      <c r="CW315" s="1656"/>
      <c r="CX315" s="1656"/>
      <c r="CY315" s="1656"/>
      <c r="CZ315" s="1656"/>
      <c r="DA315" s="1656"/>
      <c r="DB315" s="1656"/>
      <c r="DC315" s="1656"/>
      <c r="DD315" s="1656"/>
      <c r="DE315" s="1656"/>
      <c r="DF315" s="1656"/>
      <c r="DG315" s="1656"/>
      <c r="DH315" s="1656"/>
      <c r="DI315" s="1656"/>
      <c r="DJ315" s="1656"/>
      <c r="DK315" s="1656"/>
      <c r="DL315" s="1656"/>
      <c r="DM315" s="1656"/>
      <c r="DN315" s="1656"/>
      <c r="DO315" s="1656"/>
      <c r="DP315" s="1656"/>
      <c r="DQ315" s="1656"/>
      <c r="DR315" s="1656"/>
      <c r="DS315" s="1656"/>
      <c r="DT315" s="1656"/>
      <c r="DU315" s="1656"/>
      <c r="DV315" s="1656"/>
      <c r="DW315" s="1656"/>
      <c r="DX315" s="1656"/>
      <c r="DY315" s="1656"/>
      <c r="DZ315" s="1656"/>
      <c r="EA315" s="1656"/>
      <c r="EB315" s="1656"/>
      <c r="EC315" s="1656"/>
      <c r="ED315" s="1656"/>
      <c r="EE315" s="1656"/>
      <c r="EF315" s="1656"/>
      <c r="EG315" s="1656"/>
      <c r="EH315" s="1656"/>
      <c r="EI315" s="1656"/>
      <c r="EJ315" s="1656"/>
      <c r="EK315" s="1656"/>
      <c r="EL315" s="1656"/>
      <c r="EM315" s="1656"/>
      <c r="EN315" s="1656"/>
      <c r="EO315" s="1656"/>
      <c r="EP315" s="1656"/>
      <c r="EQ315" s="1656"/>
      <c r="ER315" s="1656"/>
      <c r="ES315" s="1656"/>
      <c r="ET315" s="1656"/>
      <c r="EU315" s="1656"/>
      <c r="EV315" s="1656"/>
      <c r="EW315" s="1656"/>
      <c r="EX315" s="1656"/>
      <c r="EY315" s="1656"/>
      <c r="EZ315" s="1656"/>
      <c r="FA315" s="1656"/>
      <c r="FB315" s="1656"/>
      <c r="FC315" s="1656"/>
      <c r="FD315" s="1656"/>
      <c r="FE315" s="1656"/>
      <c r="FF315" s="1656"/>
    </row>
    <row r="317" spans="6:162" s="1658" customFormat="1" ht="15.75" customHeight="1">
      <c r="F317" s="1656"/>
      <c r="G317" s="1656"/>
      <c r="H317" s="1656"/>
      <c r="I317" s="1656"/>
      <c r="J317" s="1656"/>
      <c r="K317" s="1656"/>
      <c r="L317" s="1656"/>
      <c r="M317" s="1656"/>
      <c r="N317" s="1656"/>
      <c r="O317" s="1656"/>
      <c r="P317" s="1656"/>
      <c r="Q317" s="1656"/>
      <c r="R317" s="1656"/>
      <c r="S317" s="1656"/>
      <c r="T317" s="1656"/>
      <c r="U317" s="1656"/>
      <c r="V317" s="1656"/>
      <c r="W317" s="1656"/>
      <c r="X317" s="1656"/>
      <c r="Y317" s="1656"/>
      <c r="AA317" s="1656"/>
      <c r="AC317" s="1656"/>
      <c r="AD317" s="1656"/>
      <c r="AE317" s="1656"/>
      <c r="AF317" s="1656"/>
      <c r="AG317" s="1656"/>
      <c r="AH317" s="1657"/>
      <c r="AI317" s="1657"/>
      <c r="AJ317" s="1656"/>
      <c r="AK317" s="1656"/>
      <c r="AL317" s="1656"/>
      <c r="AM317" s="1656"/>
      <c r="AN317" s="1656"/>
      <c r="AO317" s="1656"/>
      <c r="AP317" s="1656"/>
      <c r="AQ317" s="1656"/>
      <c r="AR317" s="1656"/>
      <c r="AS317" s="1656"/>
      <c r="AT317" s="1656"/>
      <c r="AU317" s="1656"/>
      <c r="AV317" s="1656"/>
      <c r="AW317" s="1656"/>
      <c r="AX317" s="1656"/>
      <c r="AY317" s="1656"/>
      <c r="AZ317" s="1656"/>
      <c r="BA317" s="1656"/>
      <c r="BB317" s="1656"/>
      <c r="BC317" s="1656"/>
      <c r="BD317" s="1656"/>
      <c r="BE317" s="1656"/>
      <c r="BF317" s="1656"/>
      <c r="BG317" s="1656"/>
      <c r="BH317" s="1656"/>
      <c r="BI317" s="1656"/>
      <c r="BJ317" s="1656"/>
      <c r="BK317" s="1656"/>
      <c r="BL317" s="1656"/>
      <c r="BM317" s="1656"/>
      <c r="BN317" s="1656"/>
      <c r="BO317" s="1656"/>
      <c r="BP317" s="1656"/>
      <c r="BQ317" s="1656"/>
      <c r="BR317" s="1656"/>
      <c r="BS317" s="1656"/>
      <c r="BT317" s="1656"/>
      <c r="BU317" s="1656"/>
      <c r="BV317" s="1656"/>
      <c r="BW317" s="1656"/>
      <c r="BX317" s="1656"/>
      <c r="BY317" s="1656"/>
      <c r="BZ317" s="1656"/>
      <c r="CA317" s="1656"/>
      <c r="CB317" s="1656"/>
      <c r="CC317" s="1656"/>
      <c r="CD317" s="1656"/>
      <c r="CE317" s="1656"/>
      <c r="CF317" s="1656"/>
      <c r="CG317" s="1656"/>
      <c r="CH317" s="1656"/>
      <c r="CI317" s="1656"/>
      <c r="CJ317" s="1656"/>
      <c r="CK317" s="1656"/>
      <c r="CL317" s="1656"/>
      <c r="CM317" s="1656"/>
      <c r="CN317" s="1656"/>
      <c r="CO317" s="1656"/>
      <c r="CP317" s="1656"/>
      <c r="CQ317" s="1656"/>
      <c r="CR317" s="1656"/>
      <c r="CS317" s="1656"/>
      <c r="CT317" s="1656"/>
      <c r="CU317" s="1656"/>
      <c r="CV317" s="1656"/>
      <c r="CW317" s="1656"/>
      <c r="CX317" s="1656"/>
      <c r="CY317" s="1656"/>
      <c r="CZ317" s="1656"/>
      <c r="DA317" s="1656"/>
      <c r="DB317" s="1656"/>
      <c r="DC317" s="1656"/>
      <c r="DD317" s="1656"/>
      <c r="DE317" s="1656"/>
      <c r="DF317" s="1656"/>
      <c r="DG317" s="1656"/>
      <c r="DH317" s="1656"/>
      <c r="DI317" s="1656"/>
      <c r="DJ317" s="1656"/>
      <c r="DK317" s="1656"/>
      <c r="DL317" s="1656"/>
      <c r="DM317" s="1656"/>
      <c r="DN317" s="1656"/>
      <c r="DO317" s="1656"/>
      <c r="DP317" s="1656"/>
      <c r="DQ317" s="1656"/>
      <c r="DR317" s="1656"/>
      <c r="DS317" s="1656"/>
      <c r="DT317" s="1656"/>
      <c r="DU317" s="1656"/>
      <c r="DV317" s="1656"/>
      <c r="DW317" s="1656"/>
      <c r="DX317" s="1656"/>
      <c r="DY317" s="1656"/>
      <c r="DZ317" s="1656"/>
      <c r="EA317" s="1656"/>
      <c r="EB317" s="1656"/>
      <c r="EC317" s="1656"/>
      <c r="ED317" s="1656"/>
      <c r="EE317" s="1656"/>
      <c r="EF317" s="1656"/>
      <c r="EG317" s="1656"/>
      <c r="EH317" s="1656"/>
      <c r="EI317" s="1656"/>
      <c r="EJ317" s="1656"/>
      <c r="EK317" s="1656"/>
      <c r="EL317" s="1656"/>
      <c r="EM317" s="1656"/>
      <c r="EN317" s="1656"/>
      <c r="EO317" s="1656"/>
      <c r="EP317" s="1656"/>
      <c r="EQ317" s="1656"/>
      <c r="ER317" s="1656"/>
      <c r="ES317" s="1656"/>
      <c r="ET317" s="1656"/>
      <c r="EU317" s="1656"/>
      <c r="EV317" s="1656"/>
      <c r="EW317" s="1656"/>
      <c r="EX317" s="1656"/>
      <c r="EY317" s="1656"/>
      <c r="EZ317" s="1656"/>
      <c r="FA317" s="1656"/>
      <c r="FB317" s="1656"/>
      <c r="FC317" s="1656"/>
      <c r="FD317" s="1656"/>
      <c r="FE317" s="1656"/>
      <c r="FF317" s="1656"/>
    </row>
    <row r="319" spans="6:162" s="1658" customFormat="1" ht="15.75" customHeight="1">
      <c r="F319" s="1656"/>
      <c r="G319" s="1656"/>
      <c r="H319" s="1656"/>
      <c r="I319" s="1656"/>
      <c r="J319" s="1656"/>
      <c r="K319" s="1656"/>
      <c r="L319" s="1656"/>
      <c r="M319" s="1656"/>
      <c r="N319" s="1656"/>
      <c r="O319" s="1656"/>
      <c r="P319" s="1656"/>
      <c r="Q319" s="1656"/>
      <c r="R319" s="1656"/>
      <c r="S319" s="1656"/>
      <c r="T319" s="1656"/>
      <c r="U319" s="1656"/>
      <c r="V319" s="1656"/>
      <c r="W319" s="1656"/>
      <c r="X319" s="1656"/>
      <c r="Y319" s="1656"/>
      <c r="AA319" s="1656"/>
      <c r="AC319" s="1656"/>
      <c r="AD319" s="1656"/>
      <c r="AE319" s="1656"/>
      <c r="AF319" s="1656"/>
      <c r="AG319" s="1656"/>
      <c r="AH319" s="1657"/>
      <c r="AI319" s="1657"/>
      <c r="AJ319" s="1656"/>
      <c r="AK319" s="1656"/>
      <c r="AL319" s="1656"/>
      <c r="AM319" s="1656"/>
      <c r="AN319" s="1656"/>
      <c r="AO319" s="1656"/>
      <c r="AP319" s="1656"/>
      <c r="AQ319" s="1656"/>
      <c r="AR319" s="1656"/>
      <c r="AS319" s="1656"/>
      <c r="AT319" s="1656"/>
      <c r="AU319" s="1656"/>
      <c r="AV319" s="1656"/>
      <c r="AW319" s="1656"/>
      <c r="AX319" s="1656"/>
      <c r="AY319" s="1656"/>
      <c r="AZ319" s="1656"/>
      <c r="BA319" s="1656"/>
      <c r="BB319" s="1656"/>
      <c r="BC319" s="1656"/>
      <c r="BD319" s="1656"/>
      <c r="BE319" s="1656"/>
      <c r="BF319" s="1656"/>
      <c r="BG319" s="1656"/>
      <c r="BH319" s="1656"/>
      <c r="BI319" s="1656"/>
      <c r="BJ319" s="1656"/>
      <c r="BK319" s="1656"/>
      <c r="BL319" s="1656"/>
      <c r="BM319" s="1656"/>
      <c r="BN319" s="1656"/>
      <c r="BO319" s="1656"/>
      <c r="BP319" s="1656"/>
      <c r="BQ319" s="1656"/>
      <c r="BR319" s="1656"/>
      <c r="BS319" s="1656"/>
      <c r="BT319" s="1656"/>
      <c r="BU319" s="1656"/>
      <c r="BV319" s="1656"/>
      <c r="BW319" s="1656"/>
      <c r="BX319" s="1656"/>
      <c r="BY319" s="1656"/>
      <c r="BZ319" s="1656"/>
      <c r="CA319" s="1656"/>
      <c r="CB319" s="1656"/>
      <c r="CC319" s="1656"/>
      <c r="CD319" s="1656"/>
      <c r="CE319" s="1656"/>
      <c r="CF319" s="1656"/>
      <c r="CG319" s="1656"/>
      <c r="CH319" s="1656"/>
      <c r="CI319" s="1656"/>
      <c r="CJ319" s="1656"/>
      <c r="CK319" s="1656"/>
      <c r="CL319" s="1656"/>
      <c r="CM319" s="1656"/>
      <c r="CN319" s="1656"/>
      <c r="CO319" s="1656"/>
      <c r="CP319" s="1656"/>
      <c r="CQ319" s="1656"/>
      <c r="CR319" s="1656"/>
      <c r="CS319" s="1656"/>
      <c r="CT319" s="1656"/>
      <c r="CU319" s="1656"/>
      <c r="CV319" s="1656"/>
      <c r="CW319" s="1656"/>
      <c r="CX319" s="1656"/>
      <c r="CY319" s="1656"/>
      <c r="CZ319" s="1656"/>
      <c r="DA319" s="1656"/>
      <c r="DB319" s="1656"/>
      <c r="DC319" s="1656"/>
      <c r="DD319" s="1656"/>
      <c r="DE319" s="1656"/>
      <c r="DF319" s="1656"/>
      <c r="DG319" s="1656"/>
      <c r="DH319" s="1656"/>
      <c r="DI319" s="1656"/>
      <c r="DJ319" s="1656"/>
      <c r="DK319" s="1656"/>
      <c r="DL319" s="1656"/>
      <c r="DM319" s="1656"/>
      <c r="DN319" s="1656"/>
      <c r="DO319" s="1656"/>
      <c r="DP319" s="1656"/>
      <c r="DQ319" s="1656"/>
      <c r="DR319" s="1656"/>
      <c r="DS319" s="1656"/>
      <c r="DT319" s="1656"/>
      <c r="DU319" s="1656"/>
      <c r="DV319" s="1656"/>
      <c r="DW319" s="1656"/>
      <c r="DX319" s="1656"/>
      <c r="DY319" s="1656"/>
      <c r="DZ319" s="1656"/>
      <c r="EA319" s="1656"/>
      <c r="EB319" s="1656"/>
      <c r="EC319" s="1656"/>
      <c r="ED319" s="1656"/>
      <c r="EE319" s="1656"/>
      <c r="EF319" s="1656"/>
      <c r="EG319" s="1656"/>
      <c r="EH319" s="1656"/>
      <c r="EI319" s="1656"/>
      <c r="EJ319" s="1656"/>
      <c r="EK319" s="1656"/>
      <c r="EL319" s="1656"/>
      <c r="EM319" s="1656"/>
      <c r="EN319" s="1656"/>
      <c r="EO319" s="1656"/>
      <c r="EP319" s="1656"/>
      <c r="EQ319" s="1656"/>
      <c r="ER319" s="1656"/>
      <c r="ES319" s="1656"/>
      <c r="ET319" s="1656"/>
      <c r="EU319" s="1656"/>
      <c r="EV319" s="1656"/>
      <c r="EW319" s="1656"/>
      <c r="EX319" s="1656"/>
      <c r="EY319" s="1656"/>
      <c r="EZ319" s="1656"/>
      <c r="FA319" s="1656"/>
      <c r="FB319" s="1656"/>
      <c r="FC319" s="1656"/>
      <c r="FD319" s="1656"/>
      <c r="FE319" s="1656"/>
      <c r="FF319" s="1656"/>
    </row>
    <row r="321" spans="6:162" s="1658" customFormat="1" ht="15.75" customHeight="1">
      <c r="F321" s="1656"/>
      <c r="G321" s="1656"/>
      <c r="H321" s="1656"/>
      <c r="I321" s="1656"/>
      <c r="J321" s="1656"/>
      <c r="K321" s="1656"/>
      <c r="L321" s="1656"/>
      <c r="M321" s="1656"/>
      <c r="N321" s="1656"/>
      <c r="O321" s="1656"/>
      <c r="P321" s="1656"/>
      <c r="Q321" s="1656"/>
      <c r="R321" s="1656"/>
      <c r="S321" s="1656"/>
      <c r="T321" s="1656"/>
      <c r="U321" s="1656"/>
      <c r="V321" s="1656"/>
      <c r="W321" s="1656"/>
      <c r="X321" s="1656"/>
      <c r="Y321" s="1656"/>
      <c r="AA321" s="1656"/>
      <c r="AC321" s="1656"/>
      <c r="AD321" s="1656"/>
      <c r="AE321" s="1656"/>
      <c r="AF321" s="1656"/>
      <c r="AG321" s="1656"/>
      <c r="AH321" s="1657"/>
      <c r="AI321" s="1657"/>
      <c r="AJ321" s="1656"/>
      <c r="AK321" s="1656"/>
      <c r="AL321" s="1656"/>
      <c r="AM321" s="1656"/>
      <c r="AN321" s="1656"/>
      <c r="AO321" s="1656"/>
      <c r="AP321" s="1656"/>
      <c r="AQ321" s="1656"/>
      <c r="AR321" s="1656"/>
      <c r="AS321" s="1656"/>
      <c r="AT321" s="1656"/>
      <c r="AU321" s="1656"/>
      <c r="AV321" s="1656"/>
      <c r="AW321" s="1656"/>
      <c r="AX321" s="1656"/>
      <c r="AY321" s="1656"/>
      <c r="AZ321" s="1656"/>
      <c r="BA321" s="1656"/>
      <c r="BB321" s="1656"/>
      <c r="BC321" s="1656"/>
      <c r="BD321" s="1656"/>
      <c r="BE321" s="1656"/>
      <c r="BF321" s="1656"/>
      <c r="BG321" s="1656"/>
      <c r="BH321" s="1656"/>
      <c r="BI321" s="1656"/>
      <c r="BJ321" s="1656"/>
      <c r="BK321" s="1656"/>
      <c r="BL321" s="1656"/>
      <c r="BM321" s="1656"/>
      <c r="BN321" s="1656"/>
      <c r="BO321" s="1656"/>
      <c r="BP321" s="1656"/>
      <c r="BQ321" s="1656"/>
      <c r="BR321" s="1656"/>
      <c r="BS321" s="1656"/>
      <c r="BT321" s="1656"/>
      <c r="BU321" s="1656"/>
      <c r="BV321" s="1656"/>
      <c r="BW321" s="1656"/>
      <c r="BX321" s="1656"/>
      <c r="BY321" s="1656"/>
      <c r="BZ321" s="1656"/>
      <c r="CA321" s="1656"/>
      <c r="CB321" s="1656"/>
      <c r="CC321" s="1656"/>
      <c r="CD321" s="1656"/>
      <c r="CE321" s="1656"/>
      <c r="CF321" s="1656"/>
      <c r="CG321" s="1656"/>
      <c r="CH321" s="1656"/>
      <c r="CI321" s="1656"/>
      <c r="CJ321" s="1656"/>
      <c r="CK321" s="1656"/>
      <c r="CL321" s="1656"/>
      <c r="CM321" s="1656"/>
      <c r="CN321" s="1656"/>
      <c r="CO321" s="1656"/>
      <c r="CP321" s="1656"/>
      <c r="CQ321" s="1656"/>
      <c r="CR321" s="1656"/>
      <c r="CS321" s="1656"/>
      <c r="CT321" s="1656"/>
      <c r="CU321" s="1656"/>
      <c r="CV321" s="1656"/>
      <c r="CW321" s="1656"/>
      <c r="CX321" s="1656"/>
      <c r="CY321" s="1656"/>
      <c r="CZ321" s="1656"/>
      <c r="DA321" s="1656"/>
      <c r="DB321" s="1656"/>
      <c r="DC321" s="1656"/>
      <c r="DD321" s="1656"/>
      <c r="DE321" s="1656"/>
      <c r="DF321" s="1656"/>
      <c r="DG321" s="1656"/>
      <c r="DH321" s="1656"/>
      <c r="DI321" s="1656"/>
      <c r="DJ321" s="1656"/>
      <c r="DK321" s="1656"/>
      <c r="DL321" s="1656"/>
      <c r="DM321" s="1656"/>
      <c r="DN321" s="1656"/>
      <c r="DO321" s="1656"/>
      <c r="DP321" s="1656"/>
      <c r="DQ321" s="1656"/>
      <c r="DR321" s="1656"/>
      <c r="DS321" s="1656"/>
      <c r="DT321" s="1656"/>
      <c r="DU321" s="1656"/>
      <c r="DV321" s="1656"/>
      <c r="DW321" s="1656"/>
      <c r="DX321" s="1656"/>
      <c r="DY321" s="1656"/>
      <c r="DZ321" s="1656"/>
      <c r="EA321" s="1656"/>
      <c r="EB321" s="1656"/>
      <c r="EC321" s="1656"/>
      <c r="ED321" s="1656"/>
      <c r="EE321" s="1656"/>
      <c r="EF321" s="1656"/>
      <c r="EG321" s="1656"/>
      <c r="EH321" s="1656"/>
      <c r="EI321" s="1656"/>
      <c r="EJ321" s="1656"/>
      <c r="EK321" s="1656"/>
      <c r="EL321" s="1656"/>
      <c r="EM321" s="1656"/>
      <c r="EN321" s="1656"/>
      <c r="EO321" s="1656"/>
      <c r="EP321" s="1656"/>
      <c r="EQ321" s="1656"/>
      <c r="ER321" s="1656"/>
      <c r="ES321" s="1656"/>
      <c r="ET321" s="1656"/>
      <c r="EU321" s="1656"/>
      <c r="EV321" s="1656"/>
      <c r="EW321" s="1656"/>
      <c r="EX321" s="1656"/>
      <c r="EY321" s="1656"/>
      <c r="EZ321" s="1656"/>
      <c r="FA321" s="1656"/>
      <c r="FB321" s="1656"/>
      <c r="FC321" s="1656"/>
      <c r="FD321" s="1656"/>
      <c r="FE321" s="1656"/>
      <c r="FF321" s="1656"/>
    </row>
    <row r="323" spans="6:162" s="1658" customFormat="1" ht="15.75" customHeight="1">
      <c r="F323" s="1656"/>
      <c r="G323" s="1656"/>
      <c r="H323" s="1656"/>
      <c r="I323" s="1656"/>
      <c r="J323" s="1656"/>
      <c r="K323" s="1656"/>
      <c r="L323" s="1656"/>
      <c r="M323" s="1656"/>
      <c r="N323" s="1656"/>
      <c r="O323" s="1656"/>
      <c r="P323" s="1656"/>
      <c r="Q323" s="1656"/>
      <c r="R323" s="1656"/>
      <c r="S323" s="1656"/>
      <c r="T323" s="1656"/>
      <c r="U323" s="1656"/>
      <c r="V323" s="1656"/>
      <c r="W323" s="1656"/>
      <c r="X323" s="1656"/>
      <c r="Y323" s="1656"/>
      <c r="AA323" s="1656"/>
      <c r="AC323" s="1656"/>
      <c r="AD323" s="1656"/>
      <c r="AE323" s="1656"/>
      <c r="AF323" s="1656"/>
      <c r="AG323" s="1656"/>
      <c r="AH323" s="1657"/>
      <c r="AI323" s="1657"/>
      <c r="AJ323" s="1656"/>
      <c r="AK323" s="1656"/>
      <c r="AL323" s="1656"/>
      <c r="AM323" s="1656"/>
      <c r="AN323" s="1656"/>
      <c r="AO323" s="1656"/>
      <c r="AP323" s="1656"/>
      <c r="AQ323" s="1656"/>
      <c r="AR323" s="1656"/>
      <c r="AS323" s="1656"/>
      <c r="AT323" s="1656"/>
      <c r="AU323" s="1656"/>
      <c r="AV323" s="1656"/>
      <c r="AW323" s="1656"/>
      <c r="AX323" s="1656"/>
      <c r="AY323" s="1656"/>
      <c r="AZ323" s="1656"/>
      <c r="BA323" s="1656"/>
      <c r="BB323" s="1656"/>
      <c r="BC323" s="1656"/>
      <c r="BD323" s="1656"/>
      <c r="BE323" s="1656"/>
      <c r="BF323" s="1656"/>
      <c r="BG323" s="1656"/>
      <c r="BH323" s="1656"/>
      <c r="BI323" s="1656"/>
      <c r="BJ323" s="1656"/>
      <c r="BK323" s="1656"/>
      <c r="BL323" s="1656"/>
      <c r="BM323" s="1656"/>
      <c r="BN323" s="1656"/>
      <c r="BO323" s="1656"/>
      <c r="BP323" s="1656"/>
      <c r="BQ323" s="1656"/>
      <c r="BR323" s="1656"/>
      <c r="BS323" s="1656"/>
      <c r="BT323" s="1656"/>
      <c r="BU323" s="1656"/>
      <c r="BV323" s="1656"/>
      <c r="BW323" s="1656"/>
      <c r="BX323" s="1656"/>
      <c r="BY323" s="1656"/>
      <c r="BZ323" s="1656"/>
      <c r="CA323" s="1656"/>
      <c r="CB323" s="1656"/>
      <c r="CC323" s="1656"/>
      <c r="CD323" s="1656"/>
      <c r="CE323" s="1656"/>
      <c r="CF323" s="1656"/>
      <c r="CG323" s="1656"/>
      <c r="CH323" s="1656"/>
      <c r="CI323" s="1656"/>
      <c r="CJ323" s="1656"/>
      <c r="CK323" s="1656"/>
      <c r="CL323" s="1656"/>
      <c r="CM323" s="1656"/>
      <c r="CN323" s="1656"/>
      <c r="CO323" s="1656"/>
      <c r="CP323" s="1656"/>
      <c r="CQ323" s="1656"/>
      <c r="CR323" s="1656"/>
      <c r="CS323" s="1656"/>
      <c r="CT323" s="1656"/>
      <c r="CU323" s="1656"/>
      <c r="CV323" s="1656"/>
      <c r="CW323" s="1656"/>
      <c r="CX323" s="1656"/>
      <c r="CY323" s="1656"/>
      <c r="CZ323" s="1656"/>
      <c r="DA323" s="1656"/>
      <c r="DB323" s="1656"/>
      <c r="DC323" s="1656"/>
      <c r="DD323" s="1656"/>
      <c r="DE323" s="1656"/>
      <c r="DF323" s="1656"/>
      <c r="DG323" s="1656"/>
      <c r="DH323" s="1656"/>
      <c r="DI323" s="1656"/>
      <c r="DJ323" s="1656"/>
      <c r="DK323" s="1656"/>
      <c r="DL323" s="1656"/>
      <c r="DM323" s="1656"/>
      <c r="DN323" s="1656"/>
      <c r="DO323" s="1656"/>
      <c r="DP323" s="1656"/>
      <c r="DQ323" s="1656"/>
      <c r="DR323" s="1656"/>
      <c r="DS323" s="1656"/>
      <c r="DT323" s="1656"/>
      <c r="DU323" s="1656"/>
      <c r="DV323" s="1656"/>
      <c r="DW323" s="1656"/>
      <c r="DX323" s="1656"/>
      <c r="DY323" s="1656"/>
      <c r="DZ323" s="1656"/>
      <c r="EA323" s="1656"/>
      <c r="EB323" s="1656"/>
      <c r="EC323" s="1656"/>
      <c r="ED323" s="1656"/>
      <c r="EE323" s="1656"/>
      <c r="EF323" s="1656"/>
      <c r="EG323" s="1656"/>
      <c r="EH323" s="1656"/>
      <c r="EI323" s="1656"/>
      <c r="EJ323" s="1656"/>
      <c r="EK323" s="1656"/>
      <c r="EL323" s="1656"/>
      <c r="EM323" s="1656"/>
      <c r="EN323" s="1656"/>
      <c r="EO323" s="1656"/>
      <c r="EP323" s="1656"/>
      <c r="EQ323" s="1656"/>
      <c r="ER323" s="1656"/>
      <c r="ES323" s="1656"/>
      <c r="ET323" s="1656"/>
      <c r="EU323" s="1656"/>
      <c r="EV323" s="1656"/>
      <c r="EW323" s="1656"/>
      <c r="EX323" s="1656"/>
      <c r="EY323" s="1656"/>
      <c r="EZ323" s="1656"/>
      <c r="FA323" s="1656"/>
      <c r="FB323" s="1656"/>
      <c r="FC323" s="1656"/>
      <c r="FD323" s="1656"/>
      <c r="FE323" s="1656"/>
      <c r="FF323" s="1656"/>
    </row>
    <row r="325" spans="6:162" s="1658" customFormat="1" ht="15.75" customHeight="1">
      <c r="F325" s="1656"/>
      <c r="G325" s="1656"/>
      <c r="H325" s="1656"/>
      <c r="I325" s="1656"/>
      <c r="J325" s="1656"/>
      <c r="K325" s="1656"/>
      <c r="L325" s="1656"/>
      <c r="M325" s="1656"/>
      <c r="N325" s="1656"/>
      <c r="O325" s="1656"/>
      <c r="P325" s="1656"/>
      <c r="Q325" s="1656"/>
      <c r="R325" s="1656"/>
      <c r="S325" s="1656"/>
      <c r="T325" s="1656"/>
      <c r="U325" s="1656"/>
      <c r="V325" s="1656"/>
      <c r="W325" s="1656"/>
      <c r="X325" s="1656"/>
      <c r="Y325" s="1656"/>
      <c r="AA325" s="1656"/>
      <c r="AC325" s="1656"/>
      <c r="AD325" s="1656"/>
      <c r="AE325" s="1656"/>
      <c r="AF325" s="1656"/>
      <c r="AG325" s="1656"/>
      <c r="AH325" s="1657"/>
      <c r="AI325" s="1657"/>
      <c r="AJ325" s="1656"/>
      <c r="AK325" s="1656"/>
      <c r="AL325" s="1656"/>
      <c r="AM325" s="1656"/>
      <c r="AN325" s="1656"/>
      <c r="AO325" s="1656"/>
      <c r="AP325" s="1656"/>
      <c r="AQ325" s="1656"/>
      <c r="AR325" s="1656"/>
      <c r="AS325" s="1656"/>
      <c r="AT325" s="1656"/>
      <c r="AU325" s="1656"/>
      <c r="AV325" s="1656"/>
      <c r="AW325" s="1656"/>
      <c r="AX325" s="1656"/>
      <c r="AY325" s="1656"/>
      <c r="AZ325" s="1656"/>
      <c r="BA325" s="1656"/>
      <c r="BB325" s="1656"/>
      <c r="BC325" s="1656"/>
      <c r="BD325" s="1656"/>
      <c r="BE325" s="1656"/>
      <c r="BF325" s="1656"/>
      <c r="BG325" s="1656"/>
      <c r="BH325" s="1656"/>
      <c r="BI325" s="1656"/>
      <c r="BJ325" s="1656"/>
      <c r="BK325" s="1656"/>
      <c r="BL325" s="1656"/>
      <c r="BM325" s="1656"/>
      <c r="BN325" s="1656"/>
      <c r="BO325" s="1656"/>
      <c r="BP325" s="1656"/>
      <c r="BQ325" s="1656"/>
      <c r="BR325" s="1656"/>
      <c r="BS325" s="1656"/>
      <c r="BT325" s="1656"/>
      <c r="BU325" s="1656"/>
      <c r="BV325" s="1656"/>
      <c r="BW325" s="1656"/>
      <c r="BX325" s="1656"/>
      <c r="BY325" s="1656"/>
      <c r="BZ325" s="1656"/>
      <c r="CA325" s="1656"/>
      <c r="CB325" s="1656"/>
      <c r="CC325" s="1656"/>
      <c r="CD325" s="1656"/>
      <c r="CE325" s="1656"/>
      <c r="CF325" s="1656"/>
      <c r="CG325" s="1656"/>
      <c r="CH325" s="1656"/>
      <c r="CI325" s="1656"/>
      <c r="CJ325" s="1656"/>
      <c r="CK325" s="1656"/>
      <c r="CL325" s="1656"/>
      <c r="CM325" s="1656"/>
      <c r="CN325" s="1656"/>
      <c r="CO325" s="1656"/>
      <c r="CP325" s="1656"/>
      <c r="CQ325" s="1656"/>
      <c r="CR325" s="1656"/>
      <c r="CS325" s="1656"/>
      <c r="CT325" s="1656"/>
      <c r="CU325" s="1656"/>
      <c r="CV325" s="1656"/>
      <c r="CW325" s="1656"/>
      <c r="CX325" s="1656"/>
      <c r="CY325" s="1656"/>
      <c r="CZ325" s="1656"/>
      <c r="DA325" s="1656"/>
      <c r="DB325" s="1656"/>
      <c r="DC325" s="1656"/>
      <c r="DD325" s="1656"/>
      <c r="DE325" s="1656"/>
      <c r="DF325" s="1656"/>
      <c r="DG325" s="1656"/>
      <c r="DH325" s="1656"/>
      <c r="DI325" s="1656"/>
      <c r="DJ325" s="1656"/>
      <c r="DK325" s="1656"/>
      <c r="DL325" s="1656"/>
      <c r="DM325" s="1656"/>
      <c r="DN325" s="1656"/>
      <c r="DO325" s="1656"/>
      <c r="DP325" s="1656"/>
      <c r="DQ325" s="1656"/>
      <c r="DR325" s="1656"/>
      <c r="DS325" s="1656"/>
      <c r="DT325" s="1656"/>
      <c r="DU325" s="1656"/>
      <c r="DV325" s="1656"/>
      <c r="DW325" s="1656"/>
      <c r="DX325" s="1656"/>
      <c r="DY325" s="1656"/>
      <c r="DZ325" s="1656"/>
      <c r="EA325" s="1656"/>
      <c r="EB325" s="1656"/>
      <c r="EC325" s="1656"/>
      <c r="ED325" s="1656"/>
      <c r="EE325" s="1656"/>
      <c r="EF325" s="1656"/>
      <c r="EG325" s="1656"/>
      <c r="EH325" s="1656"/>
      <c r="EI325" s="1656"/>
      <c r="EJ325" s="1656"/>
      <c r="EK325" s="1656"/>
      <c r="EL325" s="1656"/>
      <c r="EM325" s="1656"/>
      <c r="EN325" s="1656"/>
      <c r="EO325" s="1656"/>
      <c r="EP325" s="1656"/>
      <c r="EQ325" s="1656"/>
      <c r="ER325" s="1656"/>
      <c r="ES325" s="1656"/>
      <c r="ET325" s="1656"/>
      <c r="EU325" s="1656"/>
      <c r="EV325" s="1656"/>
      <c r="EW325" s="1656"/>
      <c r="EX325" s="1656"/>
      <c r="EY325" s="1656"/>
      <c r="EZ325" s="1656"/>
      <c r="FA325" s="1656"/>
      <c r="FB325" s="1656"/>
      <c r="FC325" s="1656"/>
      <c r="FD325" s="1656"/>
      <c r="FE325" s="1656"/>
      <c r="FF325" s="1656"/>
    </row>
    <row r="327" spans="6:162" s="1658" customFormat="1" ht="15.75" customHeight="1">
      <c r="F327" s="1656"/>
      <c r="G327" s="1656"/>
      <c r="H327" s="1656"/>
      <c r="I327" s="1656"/>
      <c r="J327" s="1656"/>
      <c r="K327" s="1656"/>
      <c r="L327" s="1656"/>
      <c r="M327" s="1656"/>
      <c r="N327" s="1656"/>
      <c r="O327" s="1656"/>
      <c r="P327" s="1656"/>
      <c r="Q327" s="1656"/>
      <c r="R327" s="1656"/>
      <c r="S327" s="1656"/>
      <c r="T327" s="1656"/>
      <c r="U327" s="1656"/>
      <c r="V327" s="1656"/>
      <c r="W327" s="1656"/>
      <c r="X327" s="1656"/>
      <c r="Y327" s="1656"/>
      <c r="AA327" s="1656"/>
      <c r="AC327" s="1656"/>
      <c r="AD327" s="1656"/>
      <c r="AE327" s="1656"/>
      <c r="AF327" s="1656"/>
      <c r="AG327" s="1656"/>
      <c r="AH327" s="1657"/>
      <c r="AI327" s="1657"/>
      <c r="AJ327" s="1656"/>
      <c r="AK327" s="1656"/>
      <c r="AL327" s="1656"/>
      <c r="AM327" s="1656"/>
      <c r="AN327" s="1656"/>
      <c r="AO327" s="1656"/>
      <c r="AP327" s="1656"/>
      <c r="AQ327" s="1656"/>
      <c r="AR327" s="1656"/>
      <c r="AS327" s="1656"/>
      <c r="AT327" s="1656"/>
      <c r="AU327" s="1656"/>
      <c r="AV327" s="1656"/>
      <c r="AW327" s="1656"/>
      <c r="AX327" s="1656"/>
      <c r="AY327" s="1656"/>
      <c r="AZ327" s="1656"/>
      <c r="BA327" s="1656"/>
      <c r="BB327" s="1656"/>
      <c r="BC327" s="1656"/>
      <c r="BD327" s="1656"/>
      <c r="BE327" s="1656"/>
      <c r="BF327" s="1656"/>
      <c r="BG327" s="1656"/>
      <c r="BH327" s="1656"/>
      <c r="BI327" s="1656"/>
      <c r="BJ327" s="1656"/>
      <c r="BK327" s="1656"/>
      <c r="BL327" s="1656"/>
      <c r="BM327" s="1656"/>
      <c r="BN327" s="1656"/>
      <c r="BO327" s="1656"/>
      <c r="BP327" s="1656"/>
      <c r="BQ327" s="1656"/>
      <c r="BR327" s="1656"/>
      <c r="BS327" s="1656"/>
      <c r="BT327" s="1656"/>
      <c r="BU327" s="1656"/>
      <c r="BV327" s="1656"/>
      <c r="BW327" s="1656"/>
      <c r="BX327" s="1656"/>
      <c r="BY327" s="1656"/>
      <c r="BZ327" s="1656"/>
      <c r="CA327" s="1656"/>
      <c r="CB327" s="1656"/>
      <c r="CC327" s="1656"/>
      <c r="CD327" s="1656"/>
      <c r="CE327" s="1656"/>
      <c r="CF327" s="1656"/>
      <c r="CG327" s="1656"/>
      <c r="CH327" s="1656"/>
      <c r="CI327" s="1656"/>
      <c r="CJ327" s="1656"/>
      <c r="CK327" s="1656"/>
      <c r="CL327" s="1656"/>
      <c r="CM327" s="1656"/>
      <c r="CN327" s="1656"/>
      <c r="CO327" s="1656"/>
      <c r="CP327" s="1656"/>
      <c r="CQ327" s="1656"/>
      <c r="CR327" s="1656"/>
      <c r="CS327" s="1656"/>
      <c r="CT327" s="1656"/>
      <c r="CU327" s="1656"/>
      <c r="CV327" s="1656"/>
      <c r="CW327" s="1656"/>
      <c r="CX327" s="1656"/>
      <c r="CY327" s="1656"/>
      <c r="CZ327" s="1656"/>
      <c r="DA327" s="1656"/>
      <c r="DB327" s="1656"/>
      <c r="DC327" s="1656"/>
      <c r="DD327" s="1656"/>
      <c r="DE327" s="1656"/>
      <c r="DF327" s="1656"/>
      <c r="DG327" s="1656"/>
      <c r="DH327" s="1656"/>
      <c r="DI327" s="1656"/>
      <c r="DJ327" s="1656"/>
      <c r="DK327" s="1656"/>
      <c r="DL327" s="1656"/>
      <c r="DM327" s="1656"/>
      <c r="DN327" s="1656"/>
      <c r="DO327" s="1656"/>
      <c r="DP327" s="1656"/>
      <c r="DQ327" s="1656"/>
      <c r="DR327" s="1656"/>
      <c r="DS327" s="1656"/>
      <c r="DT327" s="1656"/>
      <c r="DU327" s="1656"/>
      <c r="DV327" s="1656"/>
      <c r="DW327" s="1656"/>
      <c r="DX327" s="1656"/>
      <c r="DY327" s="1656"/>
      <c r="DZ327" s="1656"/>
      <c r="EA327" s="1656"/>
      <c r="EB327" s="1656"/>
      <c r="EC327" s="1656"/>
      <c r="ED327" s="1656"/>
      <c r="EE327" s="1656"/>
      <c r="EF327" s="1656"/>
      <c r="EG327" s="1656"/>
      <c r="EH327" s="1656"/>
      <c r="EI327" s="1656"/>
      <c r="EJ327" s="1656"/>
      <c r="EK327" s="1656"/>
      <c r="EL327" s="1656"/>
      <c r="EM327" s="1656"/>
      <c r="EN327" s="1656"/>
      <c r="EO327" s="1656"/>
      <c r="EP327" s="1656"/>
      <c r="EQ327" s="1656"/>
      <c r="ER327" s="1656"/>
      <c r="ES327" s="1656"/>
      <c r="ET327" s="1656"/>
      <c r="EU327" s="1656"/>
      <c r="EV327" s="1656"/>
      <c r="EW327" s="1656"/>
      <c r="EX327" s="1656"/>
      <c r="EY327" s="1656"/>
      <c r="EZ327" s="1656"/>
      <c r="FA327" s="1656"/>
      <c r="FB327" s="1656"/>
      <c r="FC327" s="1656"/>
      <c r="FD327" s="1656"/>
      <c r="FE327" s="1656"/>
      <c r="FF327" s="1656"/>
    </row>
    <row r="329" spans="6:162" s="1658" customFormat="1" ht="15.75" customHeight="1">
      <c r="F329" s="1656"/>
      <c r="G329" s="1656"/>
      <c r="H329" s="1656"/>
      <c r="I329" s="1656"/>
      <c r="J329" s="1656"/>
      <c r="K329" s="1656"/>
      <c r="L329" s="1656"/>
      <c r="M329" s="1656"/>
      <c r="N329" s="1656"/>
      <c r="O329" s="1656"/>
      <c r="P329" s="1656"/>
      <c r="Q329" s="1656"/>
      <c r="R329" s="1656"/>
      <c r="S329" s="1656"/>
      <c r="T329" s="1656"/>
      <c r="U329" s="1656"/>
      <c r="V329" s="1656"/>
      <c r="W329" s="1656"/>
      <c r="X329" s="1656"/>
      <c r="Y329" s="1656"/>
      <c r="AA329" s="1656"/>
      <c r="AC329" s="1656"/>
      <c r="AD329" s="1656"/>
      <c r="AE329" s="1656"/>
      <c r="AF329" s="1656"/>
      <c r="AG329" s="1656"/>
      <c r="AH329" s="1657"/>
      <c r="AI329" s="1657"/>
      <c r="AJ329" s="1656"/>
      <c r="AK329" s="1656"/>
      <c r="AL329" s="1656"/>
      <c r="AM329" s="1656"/>
      <c r="AN329" s="1656"/>
      <c r="AO329" s="1656"/>
      <c r="AP329" s="1656"/>
      <c r="AQ329" s="1656"/>
      <c r="AR329" s="1656"/>
      <c r="AS329" s="1656"/>
      <c r="AT329" s="1656"/>
      <c r="AU329" s="1656"/>
      <c r="AV329" s="1656"/>
      <c r="AW329" s="1656"/>
      <c r="AX329" s="1656"/>
      <c r="AY329" s="1656"/>
      <c r="AZ329" s="1656"/>
      <c r="BA329" s="1656"/>
      <c r="BB329" s="1656"/>
      <c r="BC329" s="1656"/>
      <c r="BD329" s="1656"/>
      <c r="BE329" s="1656"/>
      <c r="BF329" s="1656"/>
      <c r="BG329" s="1656"/>
      <c r="BH329" s="1656"/>
      <c r="BI329" s="1656"/>
      <c r="BJ329" s="1656"/>
      <c r="BK329" s="1656"/>
      <c r="BL329" s="1656"/>
      <c r="BM329" s="1656"/>
      <c r="BN329" s="1656"/>
      <c r="BO329" s="1656"/>
      <c r="BP329" s="1656"/>
      <c r="BQ329" s="1656"/>
      <c r="BR329" s="1656"/>
      <c r="BS329" s="1656"/>
      <c r="BT329" s="1656"/>
      <c r="BU329" s="1656"/>
      <c r="BV329" s="1656"/>
      <c r="BW329" s="1656"/>
      <c r="BX329" s="1656"/>
      <c r="BY329" s="1656"/>
      <c r="BZ329" s="1656"/>
      <c r="CA329" s="1656"/>
      <c r="CB329" s="1656"/>
      <c r="CC329" s="1656"/>
      <c r="CD329" s="1656"/>
      <c r="CE329" s="1656"/>
      <c r="CF329" s="1656"/>
      <c r="CG329" s="1656"/>
      <c r="CH329" s="1656"/>
      <c r="CI329" s="1656"/>
      <c r="CJ329" s="1656"/>
      <c r="CK329" s="1656"/>
      <c r="CL329" s="1656"/>
      <c r="CM329" s="1656"/>
      <c r="CN329" s="1656"/>
      <c r="CO329" s="1656"/>
      <c r="CP329" s="1656"/>
      <c r="CQ329" s="1656"/>
      <c r="CR329" s="1656"/>
      <c r="CS329" s="1656"/>
      <c r="CT329" s="1656"/>
      <c r="CU329" s="1656"/>
      <c r="CV329" s="1656"/>
      <c r="CW329" s="1656"/>
      <c r="CX329" s="1656"/>
      <c r="CY329" s="1656"/>
      <c r="CZ329" s="1656"/>
      <c r="DA329" s="1656"/>
      <c r="DB329" s="1656"/>
      <c r="DC329" s="1656"/>
      <c r="DD329" s="1656"/>
      <c r="DE329" s="1656"/>
      <c r="DF329" s="1656"/>
      <c r="DG329" s="1656"/>
      <c r="DH329" s="1656"/>
      <c r="DI329" s="1656"/>
      <c r="DJ329" s="1656"/>
      <c r="DK329" s="1656"/>
      <c r="DL329" s="1656"/>
      <c r="DM329" s="1656"/>
      <c r="DN329" s="1656"/>
      <c r="DO329" s="1656"/>
      <c r="DP329" s="1656"/>
      <c r="DQ329" s="1656"/>
      <c r="DR329" s="1656"/>
      <c r="DS329" s="1656"/>
      <c r="DT329" s="1656"/>
      <c r="DU329" s="1656"/>
      <c r="DV329" s="1656"/>
      <c r="DW329" s="1656"/>
      <c r="DX329" s="1656"/>
      <c r="DY329" s="1656"/>
      <c r="DZ329" s="1656"/>
      <c r="EA329" s="1656"/>
      <c r="EB329" s="1656"/>
      <c r="EC329" s="1656"/>
      <c r="ED329" s="1656"/>
      <c r="EE329" s="1656"/>
      <c r="EF329" s="1656"/>
      <c r="EG329" s="1656"/>
      <c r="EH329" s="1656"/>
      <c r="EI329" s="1656"/>
      <c r="EJ329" s="1656"/>
      <c r="EK329" s="1656"/>
      <c r="EL329" s="1656"/>
      <c r="EM329" s="1656"/>
      <c r="EN329" s="1656"/>
      <c r="EO329" s="1656"/>
      <c r="EP329" s="1656"/>
      <c r="EQ329" s="1656"/>
      <c r="ER329" s="1656"/>
      <c r="ES329" s="1656"/>
      <c r="ET329" s="1656"/>
      <c r="EU329" s="1656"/>
      <c r="EV329" s="1656"/>
      <c r="EW329" s="1656"/>
      <c r="EX329" s="1656"/>
      <c r="EY329" s="1656"/>
      <c r="EZ329" s="1656"/>
      <c r="FA329" s="1656"/>
      <c r="FB329" s="1656"/>
      <c r="FC329" s="1656"/>
      <c r="FD329" s="1656"/>
      <c r="FE329" s="1656"/>
      <c r="FF329" s="1656"/>
    </row>
    <row r="331" spans="6:162" s="1658" customFormat="1" ht="15.75" customHeight="1">
      <c r="F331" s="1656"/>
      <c r="G331" s="1656"/>
      <c r="H331" s="1656"/>
      <c r="I331" s="1656"/>
      <c r="J331" s="1656"/>
      <c r="K331" s="1656"/>
      <c r="L331" s="1656"/>
      <c r="M331" s="1656"/>
      <c r="N331" s="1656"/>
      <c r="O331" s="1656"/>
      <c r="P331" s="1656"/>
      <c r="Q331" s="1656"/>
      <c r="R331" s="1656"/>
      <c r="S331" s="1656"/>
      <c r="T331" s="1656"/>
      <c r="U331" s="1656"/>
      <c r="V331" s="1656"/>
      <c r="W331" s="1656"/>
      <c r="X331" s="1656"/>
      <c r="Y331" s="1656"/>
      <c r="AA331" s="1656"/>
      <c r="AC331" s="1656"/>
      <c r="AD331" s="1656"/>
      <c r="AE331" s="1656"/>
      <c r="AF331" s="1656"/>
      <c r="AG331" s="1656"/>
      <c r="AH331" s="1657"/>
      <c r="AI331" s="1657"/>
      <c r="AJ331" s="1656"/>
      <c r="AK331" s="1656"/>
      <c r="AL331" s="1656"/>
      <c r="AM331" s="1656"/>
      <c r="AN331" s="1656"/>
      <c r="AO331" s="1656"/>
      <c r="AP331" s="1656"/>
      <c r="AQ331" s="1656"/>
      <c r="AR331" s="1656"/>
      <c r="AS331" s="1656"/>
      <c r="AT331" s="1656"/>
      <c r="AU331" s="1656"/>
      <c r="AV331" s="1656"/>
      <c r="AW331" s="1656"/>
      <c r="AX331" s="1656"/>
      <c r="AY331" s="1656"/>
      <c r="AZ331" s="1656"/>
      <c r="BA331" s="1656"/>
      <c r="BB331" s="1656"/>
      <c r="BC331" s="1656"/>
      <c r="BD331" s="1656"/>
      <c r="BE331" s="1656"/>
      <c r="BF331" s="1656"/>
      <c r="BG331" s="1656"/>
      <c r="BH331" s="1656"/>
      <c r="BI331" s="1656"/>
      <c r="BJ331" s="1656"/>
      <c r="BK331" s="1656"/>
      <c r="BL331" s="1656"/>
      <c r="BM331" s="1656"/>
      <c r="BN331" s="1656"/>
      <c r="BO331" s="1656"/>
      <c r="BP331" s="1656"/>
      <c r="BQ331" s="1656"/>
      <c r="BR331" s="1656"/>
      <c r="BS331" s="1656"/>
      <c r="BT331" s="1656"/>
      <c r="BU331" s="1656"/>
      <c r="BV331" s="1656"/>
      <c r="BW331" s="1656"/>
      <c r="BX331" s="1656"/>
      <c r="BY331" s="1656"/>
      <c r="BZ331" s="1656"/>
      <c r="CA331" s="1656"/>
      <c r="CB331" s="1656"/>
      <c r="CC331" s="1656"/>
      <c r="CD331" s="1656"/>
      <c r="CE331" s="1656"/>
      <c r="CF331" s="1656"/>
      <c r="CG331" s="1656"/>
      <c r="CH331" s="1656"/>
      <c r="CI331" s="1656"/>
      <c r="CJ331" s="1656"/>
      <c r="CK331" s="1656"/>
      <c r="CL331" s="1656"/>
      <c r="CM331" s="1656"/>
      <c r="CN331" s="1656"/>
      <c r="CO331" s="1656"/>
      <c r="CP331" s="1656"/>
      <c r="CQ331" s="1656"/>
      <c r="CR331" s="1656"/>
      <c r="CS331" s="1656"/>
      <c r="CT331" s="1656"/>
      <c r="CU331" s="1656"/>
      <c r="CV331" s="1656"/>
      <c r="CW331" s="1656"/>
      <c r="CX331" s="1656"/>
      <c r="CY331" s="1656"/>
      <c r="CZ331" s="1656"/>
      <c r="DA331" s="1656"/>
      <c r="DB331" s="1656"/>
      <c r="DC331" s="1656"/>
      <c r="DD331" s="1656"/>
      <c r="DE331" s="1656"/>
      <c r="DF331" s="1656"/>
      <c r="DG331" s="1656"/>
      <c r="DH331" s="1656"/>
      <c r="DI331" s="1656"/>
      <c r="DJ331" s="1656"/>
      <c r="DK331" s="1656"/>
      <c r="DL331" s="1656"/>
      <c r="DM331" s="1656"/>
      <c r="DN331" s="1656"/>
      <c r="DO331" s="1656"/>
      <c r="DP331" s="1656"/>
      <c r="DQ331" s="1656"/>
      <c r="DR331" s="1656"/>
      <c r="DS331" s="1656"/>
      <c r="DT331" s="1656"/>
      <c r="DU331" s="1656"/>
      <c r="DV331" s="1656"/>
      <c r="DW331" s="1656"/>
      <c r="DX331" s="1656"/>
      <c r="DY331" s="1656"/>
      <c r="DZ331" s="1656"/>
      <c r="EA331" s="1656"/>
      <c r="EB331" s="1656"/>
      <c r="EC331" s="1656"/>
      <c r="ED331" s="1656"/>
      <c r="EE331" s="1656"/>
      <c r="EF331" s="1656"/>
      <c r="EG331" s="1656"/>
      <c r="EH331" s="1656"/>
      <c r="EI331" s="1656"/>
      <c r="EJ331" s="1656"/>
      <c r="EK331" s="1656"/>
      <c r="EL331" s="1656"/>
      <c r="EM331" s="1656"/>
      <c r="EN331" s="1656"/>
      <c r="EO331" s="1656"/>
      <c r="EP331" s="1656"/>
      <c r="EQ331" s="1656"/>
      <c r="ER331" s="1656"/>
      <c r="ES331" s="1656"/>
      <c r="ET331" s="1656"/>
      <c r="EU331" s="1656"/>
      <c r="EV331" s="1656"/>
      <c r="EW331" s="1656"/>
      <c r="EX331" s="1656"/>
      <c r="EY331" s="1656"/>
      <c r="EZ331" s="1656"/>
      <c r="FA331" s="1656"/>
      <c r="FB331" s="1656"/>
      <c r="FC331" s="1656"/>
      <c r="FD331" s="1656"/>
      <c r="FE331" s="1656"/>
      <c r="FF331" s="1656"/>
    </row>
    <row r="333" spans="6:162" s="1658" customFormat="1" ht="15.75" customHeight="1">
      <c r="F333" s="1656"/>
      <c r="G333" s="1656"/>
      <c r="H333" s="1656"/>
      <c r="I333" s="1656"/>
      <c r="J333" s="1656"/>
      <c r="K333" s="1656"/>
      <c r="L333" s="1656"/>
      <c r="M333" s="1656"/>
      <c r="N333" s="1656"/>
      <c r="O333" s="1656"/>
      <c r="P333" s="1656"/>
      <c r="Q333" s="1656"/>
      <c r="R333" s="1656"/>
      <c r="S333" s="1656"/>
      <c r="T333" s="1656"/>
      <c r="U333" s="1656"/>
      <c r="V333" s="1656"/>
      <c r="W333" s="1656"/>
      <c r="X333" s="1656"/>
      <c r="Y333" s="1656"/>
      <c r="AA333" s="1656"/>
      <c r="AC333" s="1656"/>
      <c r="AD333" s="1656"/>
      <c r="AE333" s="1656"/>
      <c r="AF333" s="1656"/>
      <c r="AG333" s="1656"/>
      <c r="AH333" s="1657"/>
      <c r="AI333" s="1657"/>
      <c r="AJ333" s="1656"/>
      <c r="AK333" s="1656"/>
      <c r="AL333" s="1656"/>
      <c r="AM333" s="1656"/>
      <c r="AN333" s="1656"/>
      <c r="AO333" s="1656"/>
      <c r="AP333" s="1656"/>
      <c r="AQ333" s="1656"/>
      <c r="AR333" s="1656"/>
      <c r="AS333" s="1656"/>
      <c r="AT333" s="1656"/>
      <c r="AU333" s="1656"/>
      <c r="AV333" s="1656"/>
      <c r="AW333" s="1656"/>
      <c r="AX333" s="1656"/>
      <c r="AY333" s="1656"/>
      <c r="AZ333" s="1656"/>
      <c r="BA333" s="1656"/>
      <c r="BB333" s="1656"/>
      <c r="BC333" s="1656"/>
      <c r="BD333" s="1656"/>
      <c r="BE333" s="1656"/>
      <c r="BF333" s="1656"/>
      <c r="BG333" s="1656"/>
      <c r="BH333" s="1656"/>
      <c r="BI333" s="1656"/>
      <c r="BJ333" s="1656"/>
      <c r="BK333" s="1656"/>
      <c r="BL333" s="1656"/>
      <c r="BM333" s="1656"/>
      <c r="BN333" s="1656"/>
      <c r="BO333" s="1656"/>
      <c r="BP333" s="1656"/>
      <c r="BQ333" s="1656"/>
      <c r="BR333" s="1656"/>
      <c r="BS333" s="1656"/>
      <c r="BT333" s="1656"/>
      <c r="BU333" s="1656"/>
      <c r="BV333" s="1656"/>
      <c r="BW333" s="1656"/>
      <c r="BX333" s="1656"/>
      <c r="BY333" s="1656"/>
      <c r="BZ333" s="1656"/>
      <c r="CA333" s="1656"/>
      <c r="CB333" s="1656"/>
      <c r="CC333" s="1656"/>
      <c r="CD333" s="1656"/>
      <c r="CE333" s="1656"/>
      <c r="CF333" s="1656"/>
      <c r="CG333" s="1656"/>
      <c r="CH333" s="1656"/>
      <c r="CI333" s="1656"/>
      <c r="CJ333" s="1656"/>
      <c r="CK333" s="1656"/>
      <c r="CL333" s="1656"/>
      <c r="CM333" s="1656"/>
      <c r="CN333" s="1656"/>
      <c r="CO333" s="1656"/>
      <c r="CP333" s="1656"/>
      <c r="CQ333" s="1656"/>
      <c r="CR333" s="1656"/>
      <c r="CS333" s="1656"/>
      <c r="CT333" s="1656"/>
      <c r="CU333" s="1656"/>
      <c r="CV333" s="1656"/>
      <c r="CW333" s="1656"/>
      <c r="CX333" s="1656"/>
      <c r="CY333" s="1656"/>
      <c r="CZ333" s="1656"/>
      <c r="DA333" s="1656"/>
      <c r="DB333" s="1656"/>
      <c r="DC333" s="1656"/>
      <c r="DD333" s="1656"/>
      <c r="DE333" s="1656"/>
      <c r="DF333" s="1656"/>
      <c r="DG333" s="1656"/>
      <c r="DH333" s="1656"/>
      <c r="DI333" s="1656"/>
      <c r="DJ333" s="1656"/>
      <c r="DK333" s="1656"/>
      <c r="DL333" s="1656"/>
      <c r="DM333" s="1656"/>
      <c r="DN333" s="1656"/>
      <c r="DO333" s="1656"/>
      <c r="DP333" s="1656"/>
      <c r="DQ333" s="1656"/>
      <c r="DR333" s="1656"/>
      <c r="DS333" s="1656"/>
      <c r="DT333" s="1656"/>
      <c r="DU333" s="1656"/>
      <c r="DV333" s="1656"/>
      <c r="DW333" s="1656"/>
      <c r="DX333" s="1656"/>
      <c r="DY333" s="1656"/>
      <c r="DZ333" s="1656"/>
      <c r="EA333" s="1656"/>
      <c r="EB333" s="1656"/>
      <c r="EC333" s="1656"/>
      <c r="ED333" s="1656"/>
      <c r="EE333" s="1656"/>
      <c r="EF333" s="1656"/>
      <c r="EG333" s="1656"/>
      <c r="EH333" s="1656"/>
      <c r="EI333" s="1656"/>
      <c r="EJ333" s="1656"/>
      <c r="EK333" s="1656"/>
      <c r="EL333" s="1656"/>
      <c r="EM333" s="1656"/>
      <c r="EN333" s="1656"/>
      <c r="EO333" s="1656"/>
      <c r="EP333" s="1656"/>
      <c r="EQ333" s="1656"/>
      <c r="ER333" s="1656"/>
      <c r="ES333" s="1656"/>
      <c r="ET333" s="1656"/>
      <c r="EU333" s="1656"/>
      <c r="EV333" s="1656"/>
      <c r="EW333" s="1656"/>
      <c r="EX333" s="1656"/>
      <c r="EY333" s="1656"/>
      <c r="EZ333" s="1656"/>
      <c r="FA333" s="1656"/>
      <c r="FB333" s="1656"/>
      <c r="FC333" s="1656"/>
      <c r="FD333" s="1656"/>
      <c r="FE333" s="1656"/>
      <c r="FF333" s="1656"/>
    </row>
    <row r="335" spans="6:162" s="1658" customFormat="1" ht="15.75" customHeight="1">
      <c r="F335" s="1656"/>
      <c r="G335" s="1656"/>
      <c r="H335" s="1656"/>
      <c r="I335" s="1656"/>
      <c r="J335" s="1656"/>
      <c r="K335" s="1656"/>
      <c r="L335" s="1656"/>
      <c r="M335" s="1656"/>
      <c r="N335" s="1656"/>
      <c r="O335" s="1656"/>
      <c r="P335" s="1656"/>
      <c r="Q335" s="1656"/>
      <c r="R335" s="1656"/>
      <c r="S335" s="1656"/>
      <c r="T335" s="1656"/>
      <c r="U335" s="1656"/>
      <c r="V335" s="1656"/>
      <c r="W335" s="1656"/>
      <c r="X335" s="1656"/>
      <c r="Y335" s="1656"/>
      <c r="AA335" s="1656"/>
      <c r="AC335" s="1656"/>
      <c r="AD335" s="1656"/>
      <c r="AE335" s="1656"/>
      <c r="AF335" s="1656"/>
      <c r="AG335" s="1656"/>
      <c r="AH335" s="1657"/>
      <c r="AI335" s="1657"/>
      <c r="AJ335" s="1656"/>
      <c r="AK335" s="1656"/>
      <c r="AL335" s="1656"/>
      <c r="AM335" s="1656"/>
      <c r="AN335" s="1656"/>
      <c r="AO335" s="1656"/>
      <c r="AP335" s="1656"/>
      <c r="AQ335" s="1656"/>
      <c r="AR335" s="1656"/>
      <c r="AS335" s="1656"/>
      <c r="AT335" s="1656"/>
      <c r="AU335" s="1656"/>
      <c r="AV335" s="1656"/>
      <c r="AW335" s="1656"/>
      <c r="AX335" s="1656"/>
      <c r="AY335" s="1656"/>
      <c r="AZ335" s="1656"/>
      <c r="BA335" s="1656"/>
      <c r="BB335" s="1656"/>
      <c r="BC335" s="1656"/>
      <c r="BD335" s="1656"/>
      <c r="BE335" s="1656"/>
      <c r="BF335" s="1656"/>
      <c r="BG335" s="1656"/>
      <c r="BH335" s="1656"/>
      <c r="BI335" s="1656"/>
      <c r="BJ335" s="1656"/>
      <c r="BK335" s="1656"/>
      <c r="BL335" s="1656"/>
      <c r="BM335" s="1656"/>
      <c r="BN335" s="1656"/>
      <c r="BO335" s="1656"/>
      <c r="BP335" s="1656"/>
      <c r="BQ335" s="1656"/>
      <c r="BR335" s="1656"/>
      <c r="BS335" s="1656"/>
      <c r="BT335" s="1656"/>
      <c r="BU335" s="1656"/>
      <c r="BV335" s="1656"/>
      <c r="BW335" s="1656"/>
      <c r="BX335" s="1656"/>
      <c r="BY335" s="1656"/>
      <c r="BZ335" s="1656"/>
      <c r="CA335" s="1656"/>
      <c r="CB335" s="1656"/>
      <c r="CC335" s="1656"/>
      <c r="CD335" s="1656"/>
      <c r="CE335" s="1656"/>
      <c r="CF335" s="1656"/>
      <c r="CG335" s="1656"/>
      <c r="CH335" s="1656"/>
      <c r="CI335" s="1656"/>
      <c r="CJ335" s="1656"/>
      <c r="CK335" s="1656"/>
      <c r="CL335" s="1656"/>
      <c r="CM335" s="1656"/>
      <c r="CN335" s="1656"/>
      <c r="CO335" s="1656"/>
      <c r="CP335" s="1656"/>
      <c r="CQ335" s="1656"/>
      <c r="CR335" s="1656"/>
      <c r="CS335" s="1656"/>
      <c r="CT335" s="1656"/>
      <c r="CU335" s="1656"/>
      <c r="CV335" s="1656"/>
      <c r="CW335" s="1656"/>
      <c r="CX335" s="1656"/>
      <c r="CY335" s="1656"/>
      <c r="CZ335" s="1656"/>
      <c r="DA335" s="1656"/>
      <c r="DB335" s="1656"/>
      <c r="DC335" s="1656"/>
      <c r="DD335" s="1656"/>
      <c r="DE335" s="1656"/>
      <c r="DF335" s="1656"/>
      <c r="DG335" s="1656"/>
      <c r="DH335" s="1656"/>
      <c r="DI335" s="1656"/>
      <c r="DJ335" s="1656"/>
      <c r="DK335" s="1656"/>
      <c r="DL335" s="1656"/>
      <c r="DM335" s="1656"/>
      <c r="DN335" s="1656"/>
      <c r="DO335" s="1656"/>
      <c r="DP335" s="1656"/>
      <c r="DQ335" s="1656"/>
      <c r="DR335" s="1656"/>
      <c r="DS335" s="1656"/>
      <c r="DT335" s="1656"/>
      <c r="DU335" s="1656"/>
      <c r="DV335" s="1656"/>
      <c r="DW335" s="1656"/>
      <c r="DX335" s="1656"/>
      <c r="DY335" s="1656"/>
      <c r="DZ335" s="1656"/>
      <c r="EA335" s="1656"/>
      <c r="EB335" s="1656"/>
      <c r="EC335" s="1656"/>
      <c r="ED335" s="1656"/>
      <c r="EE335" s="1656"/>
      <c r="EF335" s="1656"/>
      <c r="EG335" s="1656"/>
      <c r="EH335" s="1656"/>
      <c r="EI335" s="1656"/>
      <c r="EJ335" s="1656"/>
      <c r="EK335" s="1656"/>
      <c r="EL335" s="1656"/>
      <c r="EM335" s="1656"/>
      <c r="EN335" s="1656"/>
      <c r="EO335" s="1656"/>
      <c r="EP335" s="1656"/>
      <c r="EQ335" s="1656"/>
      <c r="ER335" s="1656"/>
      <c r="ES335" s="1656"/>
      <c r="ET335" s="1656"/>
      <c r="EU335" s="1656"/>
      <c r="EV335" s="1656"/>
      <c r="EW335" s="1656"/>
      <c r="EX335" s="1656"/>
      <c r="EY335" s="1656"/>
      <c r="EZ335" s="1656"/>
      <c r="FA335" s="1656"/>
      <c r="FB335" s="1656"/>
      <c r="FC335" s="1656"/>
      <c r="FD335" s="1656"/>
      <c r="FE335" s="1656"/>
      <c r="FF335" s="1656"/>
    </row>
    <row r="337" spans="6:162" s="1658" customFormat="1" ht="15.75" customHeight="1">
      <c r="F337" s="1656"/>
      <c r="G337" s="1656"/>
      <c r="H337" s="1656"/>
      <c r="I337" s="1656"/>
      <c r="J337" s="1656"/>
      <c r="K337" s="1656"/>
      <c r="L337" s="1656"/>
      <c r="M337" s="1656"/>
      <c r="N337" s="1656"/>
      <c r="O337" s="1656"/>
      <c r="P337" s="1656"/>
      <c r="Q337" s="1656"/>
      <c r="R337" s="1656"/>
      <c r="S337" s="1656"/>
      <c r="T337" s="1656"/>
      <c r="U337" s="1656"/>
      <c r="V337" s="1656"/>
      <c r="W337" s="1656"/>
      <c r="X337" s="1656"/>
      <c r="Y337" s="1656"/>
      <c r="AA337" s="1656"/>
      <c r="AC337" s="1656"/>
      <c r="AD337" s="1656"/>
      <c r="AE337" s="1656"/>
      <c r="AF337" s="1656"/>
      <c r="AG337" s="1656"/>
      <c r="AH337" s="1657"/>
      <c r="AI337" s="1657"/>
      <c r="AJ337" s="1656"/>
      <c r="AK337" s="1656"/>
      <c r="AL337" s="1656"/>
      <c r="AM337" s="1656"/>
      <c r="AN337" s="1656"/>
      <c r="AO337" s="1656"/>
      <c r="AP337" s="1656"/>
      <c r="AQ337" s="1656"/>
      <c r="AR337" s="1656"/>
      <c r="AS337" s="1656"/>
      <c r="AT337" s="1656"/>
      <c r="AU337" s="1656"/>
      <c r="AV337" s="1656"/>
      <c r="AW337" s="1656"/>
      <c r="AX337" s="1656"/>
      <c r="AY337" s="1656"/>
      <c r="AZ337" s="1656"/>
      <c r="BA337" s="1656"/>
      <c r="BB337" s="1656"/>
      <c r="BC337" s="1656"/>
      <c r="BD337" s="1656"/>
      <c r="BE337" s="1656"/>
      <c r="BF337" s="1656"/>
      <c r="BG337" s="1656"/>
      <c r="BH337" s="1656"/>
      <c r="BI337" s="1656"/>
      <c r="BJ337" s="1656"/>
      <c r="BK337" s="1656"/>
      <c r="BL337" s="1656"/>
      <c r="BM337" s="1656"/>
      <c r="BN337" s="1656"/>
      <c r="BO337" s="1656"/>
      <c r="BP337" s="1656"/>
      <c r="BQ337" s="1656"/>
      <c r="BR337" s="1656"/>
      <c r="BS337" s="1656"/>
      <c r="BT337" s="1656"/>
      <c r="BU337" s="1656"/>
      <c r="BV337" s="1656"/>
      <c r="BW337" s="1656"/>
      <c r="BX337" s="1656"/>
      <c r="BY337" s="1656"/>
      <c r="BZ337" s="1656"/>
      <c r="CA337" s="1656"/>
      <c r="CB337" s="1656"/>
      <c r="CC337" s="1656"/>
      <c r="CD337" s="1656"/>
      <c r="CE337" s="1656"/>
      <c r="CF337" s="1656"/>
      <c r="CG337" s="1656"/>
      <c r="CH337" s="1656"/>
      <c r="CI337" s="1656"/>
      <c r="CJ337" s="1656"/>
      <c r="CK337" s="1656"/>
      <c r="CL337" s="1656"/>
      <c r="CM337" s="1656"/>
      <c r="CN337" s="1656"/>
      <c r="CO337" s="1656"/>
      <c r="CP337" s="1656"/>
      <c r="CQ337" s="1656"/>
      <c r="CR337" s="1656"/>
      <c r="CS337" s="1656"/>
      <c r="CT337" s="1656"/>
      <c r="CU337" s="1656"/>
      <c r="CV337" s="1656"/>
      <c r="CW337" s="1656"/>
      <c r="CX337" s="1656"/>
      <c r="CY337" s="1656"/>
      <c r="CZ337" s="1656"/>
      <c r="DA337" s="1656"/>
      <c r="DB337" s="1656"/>
      <c r="DC337" s="1656"/>
      <c r="DD337" s="1656"/>
      <c r="DE337" s="1656"/>
      <c r="DF337" s="1656"/>
      <c r="DG337" s="1656"/>
      <c r="DH337" s="1656"/>
      <c r="DI337" s="1656"/>
      <c r="DJ337" s="1656"/>
      <c r="DK337" s="1656"/>
      <c r="DL337" s="1656"/>
      <c r="DM337" s="1656"/>
      <c r="DN337" s="1656"/>
      <c r="DO337" s="1656"/>
      <c r="DP337" s="1656"/>
      <c r="DQ337" s="1656"/>
      <c r="DR337" s="1656"/>
      <c r="DS337" s="1656"/>
      <c r="DT337" s="1656"/>
      <c r="DU337" s="1656"/>
      <c r="DV337" s="1656"/>
      <c r="DW337" s="1656"/>
      <c r="DX337" s="1656"/>
      <c r="DY337" s="1656"/>
      <c r="DZ337" s="1656"/>
      <c r="EA337" s="1656"/>
      <c r="EB337" s="1656"/>
      <c r="EC337" s="1656"/>
      <c r="ED337" s="1656"/>
      <c r="EE337" s="1656"/>
      <c r="EF337" s="1656"/>
      <c r="EG337" s="1656"/>
      <c r="EH337" s="1656"/>
      <c r="EI337" s="1656"/>
      <c r="EJ337" s="1656"/>
      <c r="EK337" s="1656"/>
      <c r="EL337" s="1656"/>
      <c r="EM337" s="1656"/>
      <c r="EN337" s="1656"/>
      <c r="EO337" s="1656"/>
      <c r="EP337" s="1656"/>
      <c r="EQ337" s="1656"/>
      <c r="ER337" s="1656"/>
      <c r="ES337" s="1656"/>
      <c r="ET337" s="1656"/>
      <c r="EU337" s="1656"/>
      <c r="EV337" s="1656"/>
      <c r="EW337" s="1656"/>
      <c r="EX337" s="1656"/>
      <c r="EY337" s="1656"/>
      <c r="EZ337" s="1656"/>
      <c r="FA337" s="1656"/>
      <c r="FB337" s="1656"/>
      <c r="FC337" s="1656"/>
      <c r="FD337" s="1656"/>
      <c r="FE337" s="1656"/>
      <c r="FF337" s="1656"/>
    </row>
    <row r="339" spans="6:162" s="1658" customFormat="1" ht="15.75" customHeight="1">
      <c r="F339" s="1656"/>
      <c r="G339" s="1656"/>
      <c r="H339" s="1656"/>
      <c r="I339" s="1656"/>
      <c r="J339" s="1656"/>
      <c r="K339" s="1656"/>
      <c r="L339" s="1656"/>
      <c r="M339" s="1656"/>
      <c r="N339" s="1656"/>
      <c r="O339" s="1656"/>
      <c r="P339" s="1656"/>
      <c r="Q339" s="1656"/>
      <c r="R339" s="1656"/>
      <c r="S339" s="1656"/>
      <c r="T339" s="1656"/>
      <c r="U339" s="1656"/>
      <c r="V339" s="1656"/>
      <c r="W339" s="1656"/>
      <c r="X339" s="1656"/>
      <c r="Y339" s="1656"/>
      <c r="AA339" s="1656"/>
      <c r="AC339" s="1656"/>
      <c r="AD339" s="1656"/>
      <c r="AE339" s="1656"/>
      <c r="AF339" s="1656"/>
      <c r="AG339" s="1656"/>
      <c r="AH339" s="1657"/>
      <c r="AI339" s="1657"/>
      <c r="AJ339" s="1656"/>
      <c r="AK339" s="1656"/>
      <c r="AL339" s="1656"/>
      <c r="AM339" s="1656"/>
      <c r="AN339" s="1656"/>
      <c r="AO339" s="1656"/>
      <c r="AP339" s="1656"/>
      <c r="AQ339" s="1656"/>
      <c r="AR339" s="1656"/>
      <c r="AS339" s="1656"/>
      <c r="AT339" s="1656"/>
      <c r="AU339" s="1656"/>
      <c r="AV339" s="1656"/>
      <c r="AW339" s="1656"/>
      <c r="AX339" s="1656"/>
      <c r="AY339" s="1656"/>
      <c r="AZ339" s="1656"/>
      <c r="BA339" s="1656"/>
      <c r="BB339" s="1656"/>
      <c r="BC339" s="1656"/>
      <c r="BD339" s="1656"/>
      <c r="BE339" s="1656"/>
      <c r="BF339" s="1656"/>
      <c r="BG339" s="1656"/>
      <c r="BH339" s="1656"/>
      <c r="BI339" s="1656"/>
      <c r="BJ339" s="1656"/>
      <c r="BK339" s="1656"/>
      <c r="BL339" s="1656"/>
      <c r="BM339" s="1656"/>
      <c r="BN339" s="1656"/>
      <c r="BO339" s="1656"/>
      <c r="BP339" s="1656"/>
      <c r="BQ339" s="1656"/>
      <c r="BR339" s="1656"/>
      <c r="BS339" s="1656"/>
      <c r="BT339" s="1656"/>
      <c r="BU339" s="1656"/>
      <c r="BV339" s="1656"/>
      <c r="BW339" s="1656"/>
      <c r="BX339" s="1656"/>
      <c r="BY339" s="1656"/>
      <c r="BZ339" s="1656"/>
      <c r="CA339" s="1656"/>
      <c r="CB339" s="1656"/>
      <c r="CC339" s="1656"/>
      <c r="CD339" s="1656"/>
      <c r="CE339" s="1656"/>
      <c r="CF339" s="1656"/>
      <c r="CG339" s="1656"/>
      <c r="CH339" s="1656"/>
      <c r="CI339" s="1656"/>
      <c r="CJ339" s="1656"/>
      <c r="CK339" s="1656"/>
      <c r="CL339" s="1656"/>
      <c r="CM339" s="1656"/>
      <c r="CN339" s="1656"/>
      <c r="CO339" s="1656"/>
      <c r="CP339" s="1656"/>
      <c r="CQ339" s="1656"/>
      <c r="CR339" s="1656"/>
      <c r="CS339" s="1656"/>
      <c r="CT339" s="1656"/>
      <c r="CU339" s="1656"/>
      <c r="CV339" s="1656"/>
      <c r="CW339" s="1656"/>
      <c r="CX339" s="1656"/>
      <c r="CY339" s="1656"/>
      <c r="CZ339" s="1656"/>
      <c r="DA339" s="1656"/>
      <c r="DB339" s="1656"/>
      <c r="DC339" s="1656"/>
      <c r="DD339" s="1656"/>
      <c r="DE339" s="1656"/>
      <c r="DF339" s="1656"/>
      <c r="DG339" s="1656"/>
      <c r="DH339" s="1656"/>
      <c r="DI339" s="1656"/>
      <c r="DJ339" s="1656"/>
      <c r="DK339" s="1656"/>
      <c r="DL339" s="1656"/>
      <c r="DM339" s="1656"/>
      <c r="DN339" s="1656"/>
      <c r="DO339" s="1656"/>
      <c r="DP339" s="1656"/>
      <c r="DQ339" s="1656"/>
      <c r="DR339" s="1656"/>
      <c r="DS339" s="1656"/>
      <c r="DT339" s="1656"/>
      <c r="DU339" s="1656"/>
      <c r="DV339" s="1656"/>
      <c r="DW339" s="1656"/>
      <c r="DX339" s="1656"/>
      <c r="DY339" s="1656"/>
      <c r="DZ339" s="1656"/>
      <c r="EA339" s="1656"/>
      <c r="EB339" s="1656"/>
      <c r="EC339" s="1656"/>
      <c r="ED339" s="1656"/>
      <c r="EE339" s="1656"/>
      <c r="EF339" s="1656"/>
      <c r="EG339" s="1656"/>
      <c r="EH339" s="1656"/>
      <c r="EI339" s="1656"/>
      <c r="EJ339" s="1656"/>
      <c r="EK339" s="1656"/>
      <c r="EL339" s="1656"/>
      <c r="EM339" s="1656"/>
      <c r="EN339" s="1656"/>
      <c r="EO339" s="1656"/>
      <c r="EP339" s="1656"/>
      <c r="EQ339" s="1656"/>
      <c r="ER339" s="1656"/>
      <c r="ES339" s="1656"/>
      <c r="ET339" s="1656"/>
      <c r="EU339" s="1656"/>
      <c r="EV339" s="1656"/>
      <c r="EW339" s="1656"/>
      <c r="EX339" s="1656"/>
      <c r="EY339" s="1656"/>
      <c r="EZ339" s="1656"/>
      <c r="FA339" s="1656"/>
      <c r="FB339" s="1656"/>
      <c r="FC339" s="1656"/>
      <c r="FD339" s="1656"/>
      <c r="FE339" s="1656"/>
      <c r="FF339" s="1656"/>
    </row>
    <row r="341" spans="6:162" s="1658" customFormat="1" ht="15.75" customHeight="1">
      <c r="F341" s="1656"/>
      <c r="G341" s="1656"/>
      <c r="H341" s="1656"/>
      <c r="I341" s="1656"/>
      <c r="J341" s="1656"/>
      <c r="K341" s="1656"/>
      <c r="L341" s="1656"/>
      <c r="M341" s="1656"/>
      <c r="N341" s="1656"/>
      <c r="O341" s="1656"/>
      <c r="P341" s="1656"/>
      <c r="Q341" s="1656"/>
      <c r="R341" s="1656"/>
      <c r="S341" s="1656"/>
      <c r="T341" s="1656"/>
      <c r="U341" s="1656"/>
      <c r="V341" s="1656"/>
      <c r="W341" s="1656"/>
      <c r="X341" s="1656"/>
      <c r="Y341" s="1656"/>
      <c r="AA341" s="1656"/>
      <c r="AC341" s="1656"/>
      <c r="AD341" s="1656"/>
      <c r="AE341" s="1656"/>
      <c r="AF341" s="1656"/>
      <c r="AG341" s="1656"/>
      <c r="AH341" s="1657"/>
      <c r="AI341" s="1657"/>
      <c r="AJ341" s="1656"/>
      <c r="AK341" s="1656"/>
      <c r="AL341" s="1656"/>
      <c r="AM341" s="1656"/>
      <c r="AN341" s="1656"/>
      <c r="AO341" s="1656"/>
      <c r="AP341" s="1656"/>
      <c r="AQ341" s="1656"/>
      <c r="AR341" s="1656"/>
      <c r="AS341" s="1656"/>
      <c r="AT341" s="1656"/>
      <c r="AU341" s="1656"/>
      <c r="AV341" s="1656"/>
      <c r="AW341" s="1656"/>
      <c r="AX341" s="1656"/>
      <c r="AY341" s="1656"/>
      <c r="AZ341" s="1656"/>
      <c r="BA341" s="1656"/>
      <c r="BB341" s="1656"/>
      <c r="BC341" s="1656"/>
      <c r="BD341" s="1656"/>
      <c r="BE341" s="1656"/>
      <c r="BF341" s="1656"/>
      <c r="BG341" s="1656"/>
      <c r="BH341" s="1656"/>
      <c r="BI341" s="1656"/>
      <c r="BJ341" s="1656"/>
      <c r="BK341" s="1656"/>
      <c r="BL341" s="1656"/>
      <c r="BM341" s="1656"/>
      <c r="BN341" s="1656"/>
      <c r="BO341" s="1656"/>
      <c r="BP341" s="1656"/>
      <c r="BQ341" s="1656"/>
      <c r="BR341" s="1656"/>
      <c r="BS341" s="1656"/>
      <c r="BT341" s="1656"/>
      <c r="BU341" s="1656"/>
      <c r="BV341" s="1656"/>
      <c r="BW341" s="1656"/>
      <c r="BX341" s="1656"/>
      <c r="BY341" s="1656"/>
      <c r="BZ341" s="1656"/>
      <c r="CA341" s="1656"/>
      <c r="CB341" s="1656"/>
      <c r="CC341" s="1656"/>
      <c r="CD341" s="1656"/>
      <c r="CE341" s="1656"/>
      <c r="CF341" s="1656"/>
      <c r="CG341" s="1656"/>
      <c r="CH341" s="1656"/>
      <c r="CI341" s="1656"/>
      <c r="CJ341" s="1656"/>
      <c r="CK341" s="1656"/>
      <c r="CL341" s="1656"/>
      <c r="CM341" s="1656"/>
      <c r="CN341" s="1656"/>
      <c r="CO341" s="1656"/>
      <c r="CP341" s="1656"/>
      <c r="CQ341" s="1656"/>
      <c r="CR341" s="1656"/>
      <c r="CS341" s="1656"/>
      <c r="CT341" s="1656"/>
      <c r="CU341" s="1656"/>
      <c r="CV341" s="1656"/>
      <c r="CW341" s="1656"/>
      <c r="CX341" s="1656"/>
      <c r="CY341" s="1656"/>
      <c r="CZ341" s="1656"/>
      <c r="DA341" s="1656"/>
      <c r="DB341" s="1656"/>
      <c r="DC341" s="1656"/>
      <c r="DD341" s="1656"/>
      <c r="DE341" s="1656"/>
      <c r="DF341" s="1656"/>
      <c r="DG341" s="1656"/>
      <c r="DH341" s="1656"/>
      <c r="DI341" s="1656"/>
      <c r="DJ341" s="1656"/>
      <c r="DK341" s="1656"/>
      <c r="DL341" s="1656"/>
      <c r="DM341" s="1656"/>
      <c r="DN341" s="1656"/>
      <c r="DO341" s="1656"/>
      <c r="DP341" s="1656"/>
      <c r="DQ341" s="1656"/>
      <c r="DR341" s="1656"/>
      <c r="DS341" s="1656"/>
      <c r="DT341" s="1656"/>
      <c r="DU341" s="1656"/>
      <c r="DV341" s="1656"/>
      <c r="DW341" s="1656"/>
      <c r="DX341" s="1656"/>
      <c r="DY341" s="1656"/>
      <c r="DZ341" s="1656"/>
      <c r="EA341" s="1656"/>
      <c r="EB341" s="1656"/>
      <c r="EC341" s="1656"/>
      <c r="ED341" s="1656"/>
      <c r="EE341" s="1656"/>
      <c r="EF341" s="1656"/>
      <c r="EG341" s="1656"/>
      <c r="EH341" s="1656"/>
      <c r="EI341" s="1656"/>
      <c r="EJ341" s="1656"/>
      <c r="EK341" s="1656"/>
      <c r="EL341" s="1656"/>
      <c r="EM341" s="1656"/>
      <c r="EN341" s="1656"/>
      <c r="EO341" s="1656"/>
      <c r="EP341" s="1656"/>
      <c r="EQ341" s="1656"/>
      <c r="ER341" s="1656"/>
      <c r="ES341" s="1656"/>
      <c r="ET341" s="1656"/>
      <c r="EU341" s="1656"/>
      <c r="EV341" s="1656"/>
      <c r="EW341" s="1656"/>
      <c r="EX341" s="1656"/>
      <c r="EY341" s="1656"/>
      <c r="EZ341" s="1656"/>
      <c r="FA341" s="1656"/>
      <c r="FB341" s="1656"/>
      <c r="FC341" s="1656"/>
      <c r="FD341" s="1656"/>
      <c r="FE341" s="1656"/>
      <c r="FF341" s="1656"/>
    </row>
    <row r="343" spans="6:162" s="1658" customFormat="1" ht="15.75" customHeight="1">
      <c r="F343" s="1656"/>
      <c r="G343" s="1656"/>
      <c r="H343" s="1656"/>
      <c r="I343" s="1656"/>
      <c r="J343" s="1656"/>
      <c r="K343" s="1656"/>
      <c r="L343" s="1656"/>
      <c r="M343" s="1656"/>
      <c r="N343" s="1656"/>
      <c r="O343" s="1656"/>
      <c r="P343" s="1656"/>
      <c r="Q343" s="1656"/>
      <c r="R343" s="1656"/>
      <c r="S343" s="1656"/>
      <c r="T343" s="1656"/>
      <c r="U343" s="1656"/>
      <c r="V343" s="1656"/>
      <c r="W343" s="1656"/>
      <c r="X343" s="1656"/>
      <c r="Y343" s="1656"/>
      <c r="AA343" s="1656"/>
      <c r="AC343" s="1656"/>
      <c r="AD343" s="1656"/>
      <c r="AE343" s="1656"/>
      <c r="AF343" s="1656"/>
      <c r="AG343" s="1656"/>
      <c r="AH343" s="1657"/>
      <c r="AI343" s="1657"/>
      <c r="AJ343" s="1656"/>
      <c r="AK343" s="1656"/>
      <c r="AL343" s="1656"/>
      <c r="AM343" s="1656"/>
      <c r="AN343" s="1656"/>
      <c r="AO343" s="1656"/>
      <c r="AP343" s="1656"/>
      <c r="AQ343" s="1656"/>
      <c r="AR343" s="1656"/>
      <c r="AS343" s="1656"/>
      <c r="AT343" s="1656"/>
      <c r="AU343" s="1656"/>
      <c r="AV343" s="1656"/>
      <c r="AW343" s="1656"/>
      <c r="AX343" s="1656"/>
      <c r="AY343" s="1656"/>
      <c r="AZ343" s="1656"/>
      <c r="BA343" s="1656"/>
      <c r="BB343" s="1656"/>
      <c r="BC343" s="1656"/>
      <c r="BD343" s="1656"/>
      <c r="BE343" s="1656"/>
      <c r="BF343" s="1656"/>
      <c r="BG343" s="1656"/>
      <c r="BH343" s="1656"/>
      <c r="BI343" s="1656"/>
      <c r="BJ343" s="1656"/>
      <c r="BK343" s="1656"/>
      <c r="BL343" s="1656"/>
      <c r="BM343" s="1656"/>
      <c r="BN343" s="1656"/>
      <c r="BO343" s="1656"/>
      <c r="BP343" s="1656"/>
      <c r="BQ343" s="1656"/>
      <c r="BR343" s="1656"/>
      <c r="BS343" s="1656"/>
      <c r="BT343" s="1656"/>
      <c r="BU343" s="1656"/>
      <c r="BV343" s="1656"/>
      <c r="BW343" s="1656"/>
      <c r="BX343" s="1656"/>
      <c r="BY343" s="1656"/>
      <c r="BZ343" s="1656"/>
      <c r="CA343" s="1656"/>
      <c r="CB343" s="1656"/>
      <c r="CC343" s="1656"/>
      <c r="CD343" s="1656"/>
      <c r="CE343" s="1656"/>
      <c r="CF343" s="1656"/>
      <c r="CG343" s="1656"/>
      <c r="CH343" s="1656"/>
      <c r="CI343" s="1656"/>
      <c r="CJ343" s="1656"/>
      <c r="CK343" s="1656"/>
      <c r="CL343" s="1656"/>
      <c r="CM343" s="1656"/>
      <c r="CN343" s="1656"/>
      <c r="CO343" s="1656"/>
      <c r="CP343" s="1656"/>
      <c r="CQ343" s="1656"/>
      <c r="CR343" s="1656"/>
      <c r="CS343" s="1656"/>
      <c r="CT343" s="1656"/>
      <c r="CU343" s="1656"/>
      <c r="CV343" s="1656"/>
      <c r="CW343" s="1656"/>
      <c r="CX343" s="1656"/>
      <c r="CY343" s="1656"/>
      <c r="CZ343" s="1656"/>
      <c r="DA343" s="1656"/>
      <c r="DB343" s="1656"/>
      <c r="DC343" s="1656"/>
      <c r="DD343" s="1656"/>
      <c r="DE343" s="1656"/>
      <c r="DF343" s="1656"/>
      <c r="DG343" s="1656"/>
      <c r="DH343" s="1656"/>
      <c r="DI343" s="1656"/>
      <c r="DJ343" s="1656"/>
      <c r="DK343" s="1656"/>
      <c r="DL343" s="1656"/>
      <c r="DM343" s="1656"/>
      <c r="DN343" s="1656"/>
      <c r="DO343" s="1656"/>
      <c r="DP343" s="1656"/>
      <c r="DQ343" s="1656"/>
      <c r="DR343" s="1656"/>
      <c r="DS343" s="1656"/>
      <c r="DT343" s="1656"/>
      <c r="DU343" s="1656"/>
      <c r="DV343" s="1656"/>
      <c r="DW343" s="1656"/>
      <c r="DX343" s="1656"/>
      <c r="DY343" s="1656"/>
      <c r="DZ343" s="1656"/>
      <c r="EA343" s="1656"/>
      <c r="EB343" s="1656"/>
      <c r="EC343" s="1656"/>
      <c r="ED343" s="1656"/>
      <c r="EE343" s="1656"/>
      <c r="EF343" s="1656"/>
      <c r="EG343" s="1656"/>
      <c r="EH343" s="1656"/>
      <c r="EI343" s="1656"/>
      <c r="EJ343" s="1656"/>
      <c r="EK343" s="1656"/>
      <c r="EL343" s="1656"/>
      <c r="EM343" s="1656"/>
      <c r="EN343" s="1656"/>
      <c r="EO343" s="1656"/>
      <c r="EP343" s="1656"/>
      <c r="EQ343" s="1656"/>
      <c r="ER343" s="1656"/>
      <c r="ES343" s="1656"/>
      <c r="ET343" s="1656"/>
      <c r="EU343" s="1656"/>
      <c r="EV343" s="1656"/>
      <c r="EW343" s="1656"/>
      <c r="EX343" s="1656"/>
      <c r="EY343" s="1656"/>
      <c r="EZ343" s="1656"/>
      <c r="FA343" s="1656"/>
      <c r="FB343" s="1656"/>
      <c r="FC343" s="1656"/>
      <c r="FD343" s="1656"/>
      <c r="FE343" s="1656"/>
      <c r="FF343" s="1656"/>
    </row>
    <row r="345" spans="6:162" s="1658" customFormat="1" ht="15.75" customHeight="1">
      <c r="F345" s="1656"/>
      <c r="G345" s="1656"/>
      <c r="H345" s="1656"/>
      <c r="I345" s="1656"/>
      <c r="J345" s="1656"/>
      <c r="K345" s="1656"/>
      <c r="L345" s="1656"/>
      <c r="M345" s="1656"/>
      <c r="N345" s="1656"/>
      <c r="O345" s="1656"/>
      <c r="P345" s="1656"/>
      <c r="Q345" s="1656"/>
      <c r="R345" s="1656"/>
      <c r="S345" s="1656"/>
      <c r="T345" s="1656"/>
      <c r="U345" s="1656"/>
      <c r="V345" s="1656"/>
      <c r="W345" s="1656"/>
      <c r="X345" s="1656"/>
      <c r="Y345" s="1656"/>
      <c r="AA345" s="1656"/>
      <c r="AC345" s="1656"/>
      <c r="AD345" s="1656"/>
      <c r="AE345" s="1656"/>
      <c r="AF345" s="1656"/>
      <c r="AG345" s="1656"/>
      <c r="AH345" s="1657"/>
      <c r="AI345" s="1657"/>
      <c r="AJ345" s="1656"/>
      <c r="AK345" s="1656"/>
      <c r="AL345" s="1656"/>
      <c r="AM345" s="1656"/>
      <c r="AN345" s="1656"/>
      <c r="AO345" s="1656"/>
      <c r="AP345" s="1656"/>
      <c r="AQ345" s="1656"/>
      <c r="AR345" s="1656"/>
      <c r="AS345" s="1656"/>
      <c r="AT345" s="1656"/>
      <c r="AU345" s="1656"/>
      <c r="AV345" s="1656"/>
      <c r="AW345" s="1656"/>
      <c r="AX345" s="1656"/>
      <c r="AY345" s="1656"/>
      <c r="AZ345" s="1656"/>
      <c r="BA345" s="1656"/>
      <c r="BB345" s="1656"/>
      <c r="BC345" s="1656"/>
      <c r="BD345" s="1656"/>
      <c r="BE345" s="1656"/>
      <c r="BF345" s="1656"/>
      <c r="BG345" s="1656"/>
      <c r="BH345" s="1656"/>
      <c r="BI345" s="1656"/>
      <c r="BJ345" s="1656"/>
      <c r="BK345" s="1656"/>
      <c r="BL345" s="1656"/>
      <c r="BM345" s="1656"/>
      <c r="BN345" s="1656"/>
      <c r="BO345" s="1656"/>
      <c r="BP345" s="1656"/>
      <c r="BQ345" s="1656"/>
      <c r="BR345" s="1656"/>
      <c r="BS345" s="1656"/>
      <c r="BT345" s="1656"/>
      <c r="BU345" s="1656"/>
      <c r="BV345" s="1656"/>
      <c r="BW345" s="1656"/>
      <c r="BX345" s="1656"/>
      <c r="BY345" s="1656"/>
      <c r="BZ345" s="1656"/>
      <c r="CA345" s="1656"/>
      <c r="CB345" s="1656"/>
      <c r="CC345" s="1656"/>
      <c r="CD345" s="1656"/>
      <c r="CE345" s="1656"/>
      <c r="CF345" s="1656"/>
      <c r="CG345" s="1656"/>
      <c r="CH345" s="1656"/>
      <c r="CI345" s="1656"/>
      <c r="CJ345" s="1656"/>
      <c r="CK345" s="1656"/>
      <c r="CL345" s="1656"/>
      <c r="CM345" s="1656"/>
      <c r="CN345" s="1656"/>
      <c r="CO345" s="1656"/>
      <c r="CP345" s="1656"/>
      <c r="CQ345" s="1656"/>
      <c r="CR345" s="1656"/>
      <c r="CS345" s="1656"/>
      <c r="CT345" s="1656"/>
      <c r="CU345" s="1656"/>
      <c r="CV345" s="1656"/>
      <c r="CW345" s="1656"/>
      <c r="CX345" s="1656"/>
      <c r="CY345" s="1656"/>
      <c r="CZ345" s="1656"/>
      <c r="DA345" s="1656"/>
      <c r="DB345" s="1656"/>
      <c r="DC345" s="1656"/>
      <c r="DD345" s="1656"/>
      <c r="DE345" s="1656"/>
      <c r="DF345" s="1656"/>
      <c r="DG345" s="1656"/>
      <c r="DH345" s="1656"/>
      <c r="DI345" s="1656"/>
      <c r="DJ345" s="1656"/>
      <c r="DK345" s="1656"/>
      <c r="DL345" s="1656"/>
      <c r="DM345" s="1656"/>
      <c r="DN345" s="1656"/>
      <c r="DO345" s="1656"/>
      <c r="DP345" s="1656"/>
      <c r="DQ345" s="1656"/>
      <c r="DR345" s="1656"/>
      <c r="DS345" s="1656"/>
      <c r="DT345" s="1656"/>
      <c r="DU345" s="1656"/>
      <c r="DV345" s="1656"/>
      <c r="DW345" s="1656"/>
      <c r="DX345" s="1656"/>
      <c r="DY345" s="1656"/>
      <c r="DZ345" s="1656"/>
      <c r="EA345" s="1656"/>
      <c r="EB345" s="1656"/>
      <c r="EC345" s="1656"/>
      <c r="ED345" s="1656"/>
      <c r="EE345" s="1656"/>
      <c r="EF345" s="1656"/>
      <c r="EG345" s="1656"/>
      <c r="EH345" s="1656"/>
      <c r="EI345" s="1656"/>
      <c r="EJ345" s="1656"/>
      <c r="EK345" s="1656"/>
      <c r="EL345" s="1656"/>
      <c r="EM345" s="1656"/>
      <c r="EN345" s="1656"/>
      <c r="EO345" s="1656"/>
      <c r="EP345" s="1656"/>
      <c r="EQ345" s="1656"/>
      <c r="ER345" s="1656"/>
      <c r="ES345" s="1656"/>
      <c r="ET345" s="1656"/>
      <c r="EU345" s="1656"/>
      <c r="EV345" s="1656"/>
      <c r="EW345" s="1656"/>
      <c r="EX345" s="1656"/>
      <c r="EY345" s="1656"/>
      <c r="EZ345" s="1656"/>
      <c r="FA345" s="1656"/>
      <c r="FB345" s="1656"/>
      <c r="FC345" s="1656"/>
      <c r="FD345" s="1656"/>
      <c r="FE345" s="1656"/>
      <c r="FF345" s="1656"/>
    </row>
    <row r="347" spans="6:162" s="1658" customFormat="1" ht="15.75" customHeight="1">
      <c r="F347" s="1656"/>
      <c r="G347" s="1656"/>
      <c r="H347" s="1656"/>
      <c r="I347" s="1656"/>
      <c r="J347" s="1656"/>
      <c r="K347" s="1656"/>
      <c r="L347" s="1656"/>
      <c r="M347" s="1656"/>
      <c r="N347" s="1656"/>
      <c r="O347" s="1656"/>
      <c r="P347" s="1656"/>
      <c r="Q347" s="1656"/>
      <c r="R347" s="1656"/>
      <c r="S347" s="1656"/>
      <c r="T347" s="1656"/>
      <c r="U347" s="1656"/>
      <c r="V347" s="1656"/>
      <c r="W347" s="1656"/>
      <c r="X347" s="1656"/>
      <c r="Y347" s="1656"/>
      <c r="AA347" s="1656"/>
      <c r="AC347" s="1656"/>
      <c r="AD347" s="1656"/>
      <c r="AE347" s="1656"/>
      <c r="AF347" s="1656"/>
      <c r="AG347" s="1656"/>
      <c r="AH347" s="1657"/>
      <c r="AI347" s="1657"/>
      <c r="AJ347" s="1656"/>
      <c r="AK347" s="1656"/>
      <c r="AL347" s="1656"/>
      <c r="AM347" s="1656"/>
      <c r="AN347" s="1656"/>
      <c r="AO347" s="1656"/>
      <c r="AP347" s="1656"/>
      <c r="AQ347" s="1656"/>
      <c r="AR347" s="1656"/>
      <c r="AS347" s="1656"/>
      <c r="AT347" s="1656"/>
      <c r="AU347" s="1656"/>
      <c r="AV347" s="1656"/>
      <c r="AW347" s="1656"/>
      <c r="AX347" s="1656"/>
      <c r="AY347" s="1656"/>
      <c r="AZ347" s="1656"/>
      <c r="BA347" s="1656"/>
      <c r="BB347" s="1656"/>
      <c r="BC347" s="1656"/>
      <c r="BD347" s="1656"/>
      <c r="BE347" s="1656"/>
      <c r="BF347" s="1656"/>
      <c r="BG347" s="1656"/>
      <c r="BH347" s="1656"/>
      <c r="BI347" s="1656"/>
      <c r="BJ347" s="1656"/>
      <c r="BK347" s="1656"/>
      <c r="BL347" s="1656"/>
      <c r="BM347" s="1656"/>
      <c r="BN347" s="1656"/>
      <c r="BO347" s="1656"/>
      <c r="BP347" s="1656"/>
      <c r="BQ347" s="1656"/>
      <c r="BR347" s="1656"/>
      <c r="BS347" s="1656"/>
      <c r="BT347" s="1656"/>
      <c r="BU347" s="1656"/>
      <c r="BV347" s="1656"/>
      <c r="BW347" s="1656"/>
      <c r="BX347" s="1656"/>
      <c r="BY347" s="1656"/>
      <c r="BZ347" s="1656"/>
      <c r="CA347" s="1656"/>
      <c r="CB347" s="1656"/>
      <c r="CC347" s="1656"/>
      <c r="CD347" s="1656"/>
      <c r="CE347" s="1656"/>
      <c r="CF347" s="1656"/>
      <c r="CG347" s="1656"/>
      <c r="CH347" s="1656"/>
      <c r="CI347" s="1656"/>
      <c r="CJ347" s="1656"/>
      <c r="CK347" s="1656"/>
      <c r="CL347" s="1656"/>
      <c r="CM347" s="1656"/>
      <c r="CN347" s="1656"/>
      <c r="CO347" s="1656"/>
      <c r="CP347" s="1656"/>
      <c r="CQ347" s="1656"/>
      <c r="CR347" s="1656"/>
      <c r="CS347" s="1656"/>
      <c r="CT347" s="1656"/>
      <c r="CU347" s="1656"/>
      <c r="CV347" s="1656"/>
      <c r="CW347" s="1656"/>
      <c r="CX347" s="1656"/>
      <c r="CY347" s="1656"/>
      <c r="CZ347" s="1656"/>
      <c r="DA347" s="1656"/>
      <c r="DB347" s="1656"/>
      <c r="DC347" s="1656"/>
      <c r="DD347" s="1656"/>
      <c r="DE347" s="1656"/>
      <c r="DF347" s="1656"/>
      <c r="DG347" s="1656"/>
      <c r="DH347" s="1656"/>
      <c r="DI347" s="1656"/>
      <c r="DJ347" s="1656"/>
      <c r="DK347" s="1656"/>
      <c r="DL347" s="1656"/>
      <c r="DM347" s="1656"/>
      <c r="DN347" s="1656"/>
      <c r="DO347" s="1656"/>
      <c r="DP347" s="1656"/>
      <c r="DQ347" s="1656"/>
      <c r="DR347" s="1656"/>
      <c r="DS347" s="1656"/>
      <c r="DT347" s="1656"/>
      <c r="DU347" s="1656"/>
      <c r="DV347" s="1656"/>
      <c r="DW347" s="1656"/>
      <c r="DX347" s="1656"/>
      <c r="DY347" s="1656"/>
      <c r="DZ347" s="1656"/>
      <c r="EA347" s="1656"/>
      <c r="EB347" s="1656"/>
      <c r="EC347" s="1656"/>
      <c r="ED347" s="1656"/>
      <c r="EE347" s="1656"/>
      <c r="EF347" s="1656"/>
      <c r="EG347" s="1656"/>
      <c r="EH347" s="1656"/>
      <c r="EI347" s="1656"/>
      <c r="EJ347" s="1656"/>
      <c r="EK347" s="1656"/>
      <c r="EL347" s="1656"/>
      <c r="EM347" s="1656"/>
      <c r="EN347" s="1656"/>
      <c r="EO347" s="1656"/>
      <c r="EP347" s="1656"/>
      <c r="EQ347" s="1656"/>
      <c r="ER347" s="1656"/>
      <c r="ES347" s="1656"/>
      <c r="ET347" s="1656"/>
      <c r="EU347" s="1656"/>
      <c r="EV347" s="1656"/>
      <c r="EW347" s="1656"/>
      <c r="EX347" s="1656"/>
      <c r="EY347" s="1656"/>
      <c r="EZ347" s="1656"/>
      <c r="FA347" s="1656"/>
      <c r="FB347" s="1656"/>
      <c r="FC347" s="1656"/>
      <c r="FD347" s="1656"/>
      <c r="FE347" s="1656"/>
      <c r="FF347" s="1656"/>
    </row>
    <row r="349" spans="6:162" s="1658" customFormat="1" ht="15.75" customHeight="1">
      <c r="F349" s="1656"/>
      <c r="G349" s="1656"/>
      <c r="H349" s="1656"/>
      <c r="I349" s="1656"/>
      <c r="J349" s="1656"/>
      <c r="K349" s="1656"/>
      <c r="L349" s="1656"/>
      <c r="M349" s="1656"/>
      <c r="N349" s="1656"/>
      <c r="O349" s="1656"/>
      <c r="P349" s="1656"/>
      <c r="Q349" s="1656"/>
      <c r="R349" s="1656"/>
      <c r="S349" s="1656"/>
      <c r="T349" s="1656"/>
      <c r="U349" s="1656"/>
      <c r="V349" s="1656"/>
      <c r="W349" s="1656"/>
      <c r="X349" s="1656"/>
      <c r="Y349" s="1656"/>
      <c r="AA349" s="1656"/>
      <c r="AC349" s="1656"/>
      <c r="AD349" s="1656"/>
      <c r="AE349" s="1656"/>
      <c r="AF349" s="1656"/>
      <c r="AG349" s="1656"/>
      <c r="AH349" s="1657"/>
      <c r="AI349" s="1657"/>
      <c r="AJ349" s="1656"/>
      <c r="AK349" s="1656"/>
      <c r="AL349" s="1656"/>
      <c r="AM349" s="1656"/>
      <c r="AN349" s="1656"/>
      <c r="AO349" s="1656"/>
      <c r="AP349" s="1656"/>
      <c r="AQ349" s="1656"/>
      <c r="AR349" s="1656"/>
      <c r="AS349" s="1656"/>
      <c r="AT349" s="1656"/>
      <c r="AU349" s="1656"/>
      <c r="AV349" s="1656"/>
      <c r="AW349" s="1656"/>
      <c r="AX349" s="1656"/>
      <c r="AY349" s="1656"/>
      <c r="AZ349" s="1656"/>
      <c r="BA349" s="1656"/>
      <c r="BB349" s="1656"/>
      <c r="BC349" s="1656"/>
      <c r="BD349" s="1656"/>
      <c r="BE349" s="1656"/>
      <c r="BF349" s="1656"/>
      <c r="BG349" s="1656"/>
      <c r="BH349" s="1656"/>
      <c r="BI349" s="1656"/>
      <c r="BJ349" s="1656"/>
      <c r="BK349" s="1656"/>
      <c r="BL349" s="1656"/>
      <c r="BM349" s="1656"/>
      <c r="BN349" s="1656"/>
      <c r="BO349" s="1656"/>
      <c r="BP349" s="1656"/>
      <c r="BQ349" s="1656"/>
      <c r="BR349" s="1656"/>
      <c r="BS349" s="1656"/>
      <c r="BT349" s="1656"/>
      <c r="BU349" s="1656"/>
      <c r="BV349" s="1656"/>
      <c r="BW349" s="1656"/>
      <c r="BX349" s="1656"/>
      <c r="BY349" s="1656"/>
      <c r="BZ349" s="1656"/>
      <c r="CA349" s="1656"/>
      <c r="CB349" s="1656"/>
      <c r="CC349" s="1656"/>
      <c r="CD349" s="1656"/>
      <c r="CE349" s="1656"/>
      <c r="CF349" s="1656"/>
      <c r="CG349" s="1656"/>
      <c r="CH349" s="1656"/>
      <c r="CI349" s="1656"/>
      <c r="CJ349" s="1656"/>
      <c r="CK349" s="1656"/>
      <c r="CL349" s="1656"/>
      <c r="CM349" s="1656"/>
      <c r="CN349" s="1656"/>
      <c r="CO349" s="1656"/>
      <c r="CP349" s="1656"/>
      <c r="CQ349" s="1656"/>
      <c r="CR349" s="1656"/>
      <c r="CS349" s="1656"/>
      <c r="CT349" s="1656"/>
      <c r="CU349" s="1656"/>
      <c r="CV349" s="1656"/>
      <c r="CW349" s="1656"/>
      <c r="CX349" s="1656"/>
      <c r="CY349" s="1656"/>
      <c r="CZ349" s="1656"/>
      <c r="DA349" s="1656"/>
      <c r="DB349" s="1656"/>
      <c r="DC349" s="1656"/>
      <c r="DD349" s="1656"/>
      <c r="DE349" s="1656"/>
      <c r="DF349" s="1656"/>
      <c r="DG349" s="1656"/>
      <c r="DH349" s="1656"/>
      <c r="DI349" s="1656"/>
      <c r="DJ349" s="1656"/>
      <c r="DK349" s="1656"/>
      <c r="DL349" s="1656"/>
      <c r="DM349" s="1656"/>
      <c r="DN349" s="1656"/>
      <c r="DO349" s="1656"/>
      <c r="DP349" s="1656"/>
      <c r="DQ349" s="1656"/>
      <c r="DR349" s="1656"/>
      <c r="DS349" s="1656"/>
      <c r="DT349" s="1656"/>
      <c r="DU349" s="1656"/>
      <c r="DV349" s="1656"/>
      <c r="DW349" s="1656"/>
      <c r="DX349" s="1656"/>
      <c r="DY349" s="1656"/>
      <c r="DZ349" s="1656"/>
      <c r="EA349" s="1656"/>
      <c r="EB349" s="1656"/>
      <c r="EC349" s="1656"/>
      <c r="ED349" s="1656"/>
      <c r="EE349" s="1656"/>
      <c r="EF349" s="1656"/>
      <c r="EG349" s="1656"/>
      <c r="EH349" s="1656"/>
      <c r="EI349" s="1656"/>
      <c r="EJ349" s="1656"/>
      <c r="EK349" s="1656"/>
      <c r="EL349" s="1656"/>
      <c r="EM349" s="1656"/>
      <c r="EN349" s="1656"/>
      <c r="EO349" s="1656"/>
      <c r="EP349" s="1656"/>
      <c r="EQ349" s="1656"/>
      <c r="ER349" s="1656"/>
      <c r="ES349" s="1656"/>
      <c r="ET349" s="1656"/>
      <c r="EU349" s="1656"/>
      <c r="EV349" s="1656"/>
      <c r="EW349" s="1656"/>
      <c r="EX349" s="1656"/>
      <c r="EY349" s="1656"/>
      <c r="EZ349" s="1656"/>
      <c r="FA349" s="1656"/>
      <c r="FB349" s="1656"/>
      <c r="FC349" s="1656"/>
      <c r="FD349" s="1656"/>
      <c r="FE349" s="1656"/>
      <c r="FF349" s="1656"/>
    </row>
    <row r="351" spans="6:162" s="1658" customFormat="1" ht="15.75" customHeight="1">
      <c r="F351" s="1656"/>
      <c r="G351" s="1656"/>
      <c r="H351" s="1656"/>
      <c r="I351" s="1656"/>
      <c r="J351" s="1656"/>
      <c r="K351" s="1656"/>
      <c r="L351" s="1656"/>
      <c r="M351" s="1656"/>
      <c r="N351" s="1656"/>
      <c r="O351" s="1656"/>
      <c r="P351" s="1656"/>
      <c r="Q351" s="1656"/>
      <c r="R351" s="1656"/>
      <c r="S351" s="1656"/>
      <c r="T351" s="1656"/>
      <c r="U351" s="1656"/>
      <c r="V351" s="1656"/>
      <c r="W351" s="1656"/>
      <c r="X351" s="1656"/>
      <c r="Y351" s="1656"/>
      <c r="AA351" s="1656"/>
      <c r="AC351" s="1656"/>
      <c r="AD351" s="1656"/>
      <c r="AE351" s="1656"/>
      <c r="AF351" s="1656"/>
      <c r="AG351" s="1656"/>
      <c r="AH351" s="1657"/>
      <c r="AI351" s="1657"/>
      <c r="AJ351" s="1656"/>
      <c r="AK351" s="1656"/>
      <c r="AL351" s="1656"/>
      <c r="AM351" s="1656"/>
      <c r="AN351" s="1656"/>
      <c r="AO351" s="1656"/>
      <c r="AP351" s="1656"/>
      <c r="AQ351" s="1656"/>
      <c r="AR351" s="1656"/>
      <c r="AS351" s="1656"/>
      <c r="AT351" s="1656"/>
      <c r="AU351" s="1656"/>
      <c r="AV351" s="1656"/>
      <c r="AW351" s="1656"/>
      <c r="AX351" s="1656"/>
      <c r="AY351" s="1656"/>
      <c r="AZ351" s="1656"/>
      <c r="BA351" s="1656"/>
      <c r="BB351" s="1656"/>
      <c r="BC351" s="1656"/>
      <c r="BD351" s="1656"/>
      <c r="BE351" s="1656"/>
      <c r="BF351" s="1656"/>
      <c r="BG351" s="1656"/>
      <c r="BH351" s="1656"/>
      <c r="BI351" s="1656"/>
      <c r="BJ351" s="1656"/>
      <c r="BK351" s="1656"/>
      <c r="BL351" s="1656"/>
      <c r="BM351" s="1656"/>
      <c r="BN351" s="1656"/>
      <c r="BO351" s="1656"/>
      <c r="BP351" s="1656"/>
      <c r="BQ351" s="1656"/>
      <c r="BR351" s="1656"/>
      <c r="BS351" s="1656"/>
      <c r="BT351" s="1656"/>
      <c r="BU351" s="1656"/>
      <c r="BV351" s="1656"/>
      <c r="BW351" s="1656"/>
      <c r="BX351" s="1656"/>
      <c r="BY351" s="1656"/>
      <c r="BZ351" s="1656"/>
      <c r="CA351" s="1656"/>
      <c r="CB351" s="1656"/>
      <c r="CC351" s="1656"/>
      <c r="CD351" s="1656"/>
      <c r="CE351" s="1656"/>
      <c r="CF351" s="1656"/>
      <c r="CG351" s="1656"/>
      <c r="CH351" s="1656"/>
      <c r="CI351" s="1656"/>
      <c r="CJ351" s="1656"/>
      <c r="CK351" s="1656"/>
      <c r="CL351" s="1656"/>
      <c r="CM351" s="1656"/>
      <c r="CN351" s="1656"/>
      <c r="CO351" s="1656"/>
      <c r="CP351" s="1656"/>
      <c r="CQ351" s="1656"/>
      <c r="CR351" s="1656"/>
      <c r="CS351" s="1656"/>
      <c r="CT351" s="1656"/>
      <c r="CU351" s="1656"/>
      <c r="CV351" s="1656"/>
      <c r="CW351" s="1656"/>
      <c r="CX351" s="1656"/>
      <c r="CY351" s="1656"/>
      <c r="CZ351" s="1656"/>
      <c r="DA351" s="1656"/>
      <c r="DB351" s="1656"/>
      <c r="DC351" s="1656"/>
      <c r="DD351" s="1656"/>
      <c r="DE351" s="1656"/>
      <c r="DF351" s="1656"/>
      <c r="DG351" s="1656"/>
      <c r="DH351" s="1656"/>
      <c r="DI351" s="1656"/>
      <c r="DJ351" s="1656"/>
      <c r="DK351" s="1656"/>
      <c r="DL351" s="1656"/>
      <c r="DM351" s="1656"/>
      <c r="DN351" s="1656"/>
      <c r="DO351" s="1656"/>
      <c r="DP351" s="1656"/>
      <c r="DQ351" s="1656"/>
      <c r="DR351" s="1656"/>
      <c r="DS351" s="1656"/>
      <c r="DT351" s="1656"/>
      <c r="DU351" s="1656"/>
      <c r="DV351" s="1656"/>
      <c r="DW351" s="1656"/>
      <c r="DX351" s="1656"/>
      <c r="DY351" s="1656"/>
      <c r="DZ351" s="1656"/>
      <c r="EA351" s="1656"/>
      <c r="EB351" s="1656"/>
      <c r="EC351" s="1656"/>
      <c r="ED351" s="1656"/>
      <c r="EE351" s="1656"/>
      <c r="EF351" s="1656"/>
      <c r="EG351" s="1656"/>
      <c r="EH351" s="1656"/>
      <c r="EI351" s="1656"/>
      <c r="EJ351" s="1656"/>
      <c r="EK351" s="1656"/>
      <c r="EL351" s="1656"/>
      <c r="EM351" s="1656"/>
      <c r="EN351" s="1656"/>
      <c r="EO351" s="1656"/>
      <c r="EP351" s="1656"/>
      <c r="EQ351" s="1656"/>
      <c r="ER351" s="1656"/>
      <c r="ES351" s="1656"/>
      <c r="ET351" s="1656"/>
      <c r="EU351" s="1656"/>
      <c r="EV351" s="1656"/>
      <c r="EW351" s="1656"/>
      <c r="EX351" s="1656"/>
      <c r="EY351" s="1656"/>
      <c r="EZ351" s="1656"/>
      <c r="FA351" s="1656"/>
      <c r="FB351" s="1656"/>
      <c r="FC351" s="1656"/>
      <c r="FD351" s="1656"/>
      <c r="FE351" s="1656"/>
      <c r="FF351" s="1656"/>
    </row>
    <row r="353" spans="6:162" s="1658" customFormat="1" ht="15.75" customHeight="1">
      <c r="F353" s="1656"/>
      <c r="G353" s="1656"/>
      <c r="H353" s="1656"/>
      <c r="I353" s="1656"/>
      <c r="J353" s="1656"/>
      <c r="K353" s="1656"/>
      <c r="L353" s="1656"/>
      <c r="M353" s="1656"/>
      <c r="N353" s="1656"/>
      <c r="O353" s="1656"/>
      <c r="P353" s="1656"/>
      <c r="Q353" s="1656"/>
      <c r="R353" s="1656"/>
      <c r="S353" s="1656"/>
      <c r="T353" s="1656"/>
      <c r="U353" s="1656"/>
      <c r="V353" s="1656"/>
      <c r="W353" s="1656"/>
      <c r="X353" s="1656"/>
      <c r="Y353" s="1656"/>
      <c r="AA353" s="1656"/>
      <c r="AC353" s="1656"/>
      <c r="AD353" s="1656"/>
      <c r="AE353" s="1656"/>
      <c r="AF353" s="1656"/>
      <c r="AG353" s="1656"/>
      <c r="AH353" s="1657"/>
      <c r="AI353" s="1657"/>
      <c r="AJ353" s="1656"/>
      <c r="AK353" s="1656"/>
      <c r="AL353" s="1656"/>
      <c r="AM353" s="1656"/>
      <c r="AN353" s="1656"/>
      <c r="AO353" s="1656"/>
      <c r="AP353" s="1656"/>
      <c r="AQ353" s="1656"/>
      <c r="AR353" s="1656"/>
      <c r="AS353" s="1656"/>
      <c r="AT353" s="1656"/>
      <c r="AU353" s="1656"/>
      <c r="AV353" s="1656"/>
      <c r="AW353" s="1656"/>
      <c r="AX353" s="1656"/>
      <c r="AY353" s="1656"/>
      <c r="AZ353" s="1656"/>
      <c r="BA353" s="1656"/>
      <c r="BB353" s="1656"/>
      <c r="BC353" s="1656"/>
      <c r="BD353" s="1656"/>
      <c r="BE353" s="1656"/>
      <c r="BF353" s="1656"/>
      <c r="BG353" s="1656"/>
      <c r="BH353" s="1656"/>
      <c r="BI353" s="1656"/>
      <c r="BJ353" s="1656"/>
      <c r="BK353" s="1656"/>
      <c r="BL353" s="1656"/>
      <c r="BM353" s="1656"/>
      <c r="BN353" s="1656"/>
      <c r="BO353" s="1656"/>
      <c r="BP353" s="1656"/>
      <c r="BQ353" s="1656"/>
      <c r="BR353" s="1656"/>
      <c r="BS353" s="1656"/>
      <c r="BT353" s="1656"/>
      <c r="BU353" s="1656"/>
      <c r="BV353" s="1656"/>
      <c r="BW353" s="1656"/>
      <c r="BX353" s="1656"/>
      <c r="BY353" s="1656"/>
      <c r="BZ353" s="1656"/>
      <c r="CA353" s="1656"/>
      <c r="CB353" s="1656"/>
      <c r="CC353" s="1656"/>
      <c r="CD353" s="1656"/>
      <c r="CE353" s="1656"/>
      <c r="CF353" s="1656"/>
      <c r="CG353" s="1656"/>
      <c r="CH353" s="1656"/>
      <c r="CI353" s="1656"/>
      <c r="CJ353" s="1656"/>
      <c r="CK353" s="1656"/>
      <c r="CL353" s="1656"/>
      <c r="CM353" s="1656"/>
      <c r="CN353" s="1656"/>
      <c r="CO353" s="1656"/>
      <c r="CP353" s="1656"/>
      <c r="CQ353" s="1656"/>
      <c r="CR353" s="1656"/>
      <c r="CS353" s="1656"/>
      <c r="CT353" s="1656"/>
      <c r="CU353" s="1656"/>
      <c r="CV353" s="1656"/>
      <c r="CW353" s="1656"/>
      <c r="CX353" s="1656"/>
      <c r="CY353" s="1656"/>
      <c r="CZ353" s="1656"/>
      <c r="DA353" s="1656"/>
      <c r="DB353" s="1656"/>
      <c r="DC353" s="1656"/>
      <c r="DD353" s="1656"/>
      <c r="DE353" s="1656"/>
      <c r="DF353" s="1656"/>
      <c r="DG353" s="1656"/>
      <c r="DH353" s="1656"/>
      <c r="DI353" s="1656"/>
      <c r="DJ353" s="1656"/>
      <c r="DK353" s="1656"/>
      <c r="DL353" s="1656"/>
      <c r="DM353" s="1656"/>
      <c r="DN353" s="1656"/>
      <c r="DO353" s="1656"/>
      <c r="DP353" s="1656"/>
      <c r="DQ353" s="1656"/>
      <c r="DR353" s="1656"/>
      <c r="DS353" s="1656"/>
      <c r="DT353" s="1656"/>
      <c r="DU353" s="1656"/>
      <c r="DV353" s="1656"/>
      <c r="DW353" s="1656"/>
      <c r="DX353" s="1656"/>
      <c r="DY353" s="1656"/>
      <c r="DZ353" s="1656"/>
      <c r="EA353" s="1656"/>
      <c r="EB353" s="1656"/>
      <c r="EC353" s="1656"/>
      <c r="ED353" s="1656"/>
      <c r="EE353" s="1656"/>
      <c r="EF353" s="1656"/>
      <c r="EG353" s="1656"/>
      <c r="EH353" s="1656"/>
      <c r="EI353" s="1656"/>
      <c r="EJ353" s="1656"/>
      <c r="EK353" s="1656"/>
      <c r="EL353" s="1656"/>
      <c r="EM353" s="1656"/>
      <c r="EN353" s="1656"/>
      <c r="EO353" s="1656"/>
      <c r="EP353" s="1656"/>
      <c r="EQ353" s="1656"/>
      <c r="ER353" s="1656"/>
      <c r="ES353" s="1656"/>
      <c r="ET353" s="1656"/>
      <c r="EU353" s="1656"/>
      <c r="EV353" s="1656"/>
      <c r="EW353" s="1656"/>
      <c r="EX353" s="1656"/>
      <c r="EY353" s="1656"/>
      <c r="EZ353" s="1656"/>
      <c r="FA353" s="1656"/>
      <c r="FB353" s="1656"/>
      <c r="FC353" s="1656"/>
      <c r="FD353" s="1656"/>
      <c r="FE353" s="1656"/>
      <c r="FF353" s="1656"/>
    </row>
    <row r="355" spans="6:162" s="1658" customFormat="1" ht="15.75" customHeight="1">
      <c r="F355" s="1656"/>
      <c r="G355" s="1656"/>
      <c r="H355" s="1656"/>
      <c r="I355" s="1656"/>
      <c r="J355" s="1656"/>
      <c r="K355" s="1656"/>
      <c r="L355" s="1656"/>
      <c r="M355" s="1656"/>
      <c r="N355" s="1656"/>
      <c r="O355" s="1656"/>
      <c r="P355" s="1656"/>
      <c r="Q355" s="1656"/>
      <c r="R355" s="1656"/>
      <c r="S355" s="1656"/>
      <c r="T355" s="1656"/>
      <c r="U355" s="1656"/>
      <c r="V355" s="1656"/>
      <c r="W355" s="1656"/>
      <c r="X355" s="1656"/>
      <c r="Y355" s="1656"/>
      <c r="AA355" s="1656"/>
      <c r="AC355" s="1656"/>
      <c r="AD355" s="1656"/>
      <c r="AE355" s="1656"/>
      <c r="AF355" s="1656"/>
      <c r="AG355" s="1656"/>
      <c r="AH355" s="1657"/>
      <c r="AI355" s="1657"/>
      <c r="AJ355" s="1656"/>
      <c r="AK355" s="1656"/>
      <c r="AL355" s="1656"/>
      <c r="AM355" s="1656"/>
      <c r="AN355" s="1656"/>
      <c r="AO355" s="1656"/>
      <c r="AP355" s="1656"/>
      <c r="AQ355" s="1656"/>
      <c r="AR355" s="1656"/>
      <c r="AS355" s="1656"/>
      <c r="AT355" s="1656"/>
      <c r="AU355" s="1656"/>
      <c r="AV355" s="1656"/>
      <c r="AW355" s="1656"/>
      <c r="AX355" s="1656"/>
      <c r="AY355" s="1656"/>
      <c r="AZ355" s="1656"/>
      <c r="BA355" s="1656"/>
      <c r="BB355" s="1656"/>
      <c r="BC355" s="1656"/>
      <c r="BD355" s="1656"/>
      <c r="BE355" s="1656"/>
      <c r="BF355" s="1656"/>
      <c r="BG355" s="1656"/>
      <c r="BH355" s="1656"/>
      <c r="BI355" s="1656"/>
      <c r="BJ355" s="1656"/>
      <c r="BK355" s="1656"/>
      <c r="BL355" s="1656"/>
      <c r="BM355" s="1656"/>
      <c r="BN355" s="1656"/>
      <c r="BO355" s="1656"/>
      <c r="BP355" s="1656"/>
      <c r="BQ355" s="1656"/>
      <c r="BR355" s="1656"/>
      <c r="BS355" s="1656"/>
      <c r="BT355" s="1656"/>
      <c r="BU355" s="1656"/>
      <c r="BV355" s="1656"/>
      <c r="BW355" s="1656"/>
      <c r="BX355" s="1656"/>
      <c r="BY355" s="1656"/>
      <c r="BZ355" s="1656"/>
      <c r="CA355" s="1656"/>
      <c r="CB355" s="1656"/>
      <c r="CC355" s="1656"/>
      <c r="CD355" s="1656"/>
      <c r="CE355" s="1656"/>
      <c r="CF355" s="1656"/>
      <c r="CG355" s="1656"/>
      <c r="CH355" s="1656"/>
      <c r="CI355" s="1656"/>
      <c r="CJ355" s="1656"/>
      <c r="CK355" s="1656"/>
      <c r="CL355" s="1656"/>
      <c r="CM355" s="1656"/>
      <c r="CN355" s="1656"/>
      <c r="CO355" s="1656"/>
      <c r="CP355" s="1656"/>
      <c r="CQ355" s="1656"/>
      <c r="CR355" s="1656"/>
      <c r="CS355" s="1656"/>
      <c r="CT355" s="1656"/>
      <c r="CU355" s="1656"/>
      <c r="CV355" s="1656"/>
      <c r="CW355" s="1656"/>
      <c r="CX355" s="1656"/>
      <c r="CY355" s="1656"/>
      <c r="CZ355" s="1656"/>
      <c r="DA355" s="1656"/>
      <c r="DB355" s="1656"/>
      <c r="DC355" s="1656"/>
      <c r="DD355" s="1656"/>
      <c r="DE355" s="1656"/>
      <c r="DF355" s="1656"/>
      <c r="DG355" s="1656"/>
      <c r="DH355" s="1656"/>
      <c r="DI355" s="1656"/>
      <c r="DJ355" s="1656"/>
      <c r="DK355" s="1656"/>
      <c r="DL355" s="1656"/>
      <c r="DM355" s="1656"/>
      <c r="DN355" s="1656"/>
      <c r="DO355" s="1656"/>
      <c r="DP355" s="1656"/>
      <c r="DQ355" s="1656"/>
      <c r="DR355" s="1656"/>
      <c r="DS355" s="1656"/>
      <c r="DT355" s="1656"/>
      <c r="DU355" s="1656"/>
      <c r="DV355" s="1656"/>
      <c r="DW355" s="1656"/>
      <c r="DX355" s="1656"/>
      <c r="DY355" s="1656"/>
      <c r="DZ355" s="1656"/>
      <c r="EA355" s="1656"/>
      <c r="EB355" s="1656"/>
      <c r="EC355" s="1656"/>
      <c r="ED355" s="1656"/>
      <c r="EE355" s="1656"/>
      <c r="EF355" s="1656"/>
      <c r="EG355" s="1656"/>
      <c r="EH355" s="1656"/>
      <c r="EI355" s="1656"/>
      <c r="EJ355" s="1656"/>
      <c r="EK355" s="1656"/>
      <c r="EL355" s="1656"/>
      <c r="EM355" s="1656"/>
      <c r="EN355" s="1656"/>
      <c r="EO355" s="1656"/>
      <c r="EP355" s="1656"/>
      <c r="EQ355" s="1656"/>
      <c r="ER355" s="1656"/>
      <c r="ES355" s="1656"/>
      <c r="ET355" s="1656"/>
      <c r="EU355" s="1656"/>
      <c r="EV355" s="1656"/>
      <c r="EW355" s="1656"/>
      <c r="EX355" s="1656"/>
      <c r="EY355" s="1656"/>
      <c r="EZ355" s="1656"/>
      <c r="FA355" s="1656"/>
      <c r="FB355" s="1656"/>
      <c r="FC355" s="1656"/>
      <c r="FD355" s="1656"/>
      <c r="FE355" s="1656"/>
      <c r="FF355" s="1656"/>
    </row>
    <row r="357" spans="6:162" s="1658" customFormat="1" ht="15.75" customHeight="1">
      <c r="F357" s="1656"/>
      <c r="G357" s="1656"/>
      <c r="H357" s="1656"/>
      <c r="I357" s="1656"/>
      <c r="J357" s="1656"/>
      <c r="K357" s="1656"/>
      <c r="L357" s="1656"/>
      <c r="M357" s="1656"/>
      <c r="N357" s="1656"/>
      <c r="O357" s="1656"/>
      <c r="P357" s="1656"/>
      <c r="Q357" s="1656"/>
      <c r="R357" s="1656"/>
      <c r="S357" s="1656"/>
      <c r="T357" s="1656"/>
      <c r="U357" s="1656"/>
      <c r="V357" s="1656"/>
      <c r="W357" s="1656"/>
      <c r="X357" s="1656"/>
      <c r="Y357" s="1656"/>
      <c r="AA357" s="1656"/>
      <c r="AC357" s="1656"/>
      <c r="AD357" s="1656"/>
      <c r="AE357" s="1656"/>
      <c r="AF357" s="1656"/>
      <c r="AG357" s="1656"/>
      <c r="AH357" s="1657"/>
      <c r="AI357" s="1657"/>
      <c r="AJ357" s="1656"/>
      <c r="AK357" s="1656"/>
      <c r="AL357" s="1656"/>
      <c r="AM357" s="1656"/>
      <c r="AN357" s="1656"/>
      <c r="AO357" s="1656"/>
      <c r="AP357" s="1656"/>
      <c r="AQ357" s="1656"/>
      <c r="AR357" s="1656"/>
      <c r="AS357" s="1656"/>
      <c r="AT357" s="1656"/>
      <c r="AU357" s="1656"/>
      <c r="AV357" s="1656"/>
      <c r="AW357" s="1656"/>
      <c r="AX357" s="1656"/>
      <c r="AY357" s="1656"/>
      <c r="AZ357" s="1656"/>
      <c r="BA357" s="1656"/>
      <c r="BB357" s="1656"/>
      <c r="BC357" s="1656"/>
      <c r="BD357" s="1656"/>
      <c r="BE357" s="1656"/>
      <c r="BF357" s="1656"/>
      <c r="BG357" s="1656"/>
      <c r="BH357" s="1656"/>
      <c r="BI357" s="1656"/>
      <c r="BJ357" s="1656"/>
      <c r="BK357" s="1656"/>
      <c r="BL357" s="1656"/>
      <c r="BM357" s="1656"/>
      <c r="BN357" s="1656"/>
      <c r="BO357" s="1656"/>
      <c r="BP357" s="1656"/>
      <c r="BQ357" s="1656"/>
      <c r="BR357" s="1656"/>
      <c r="BS357" s="1656"/>
      <c r="BT357" s="1656"/>
      <c r="BU357" s="1656"/>
      <c r="BV357" s="1656"/>
      <c r="BW357" s="1656"/>
      <c r="BX357" s="1656"/>
      <c r="BY357" s="1656"/>
      <c r="BZ357" s="1656"/>
      <c r="CA357" s="1656"/>
      <c r="CB357" s="1656"/>
      <c r="CC357" s="1656"/>
      <c r="CD357" s="1656"/>
      <c r="CE357" s="1656"/>
      <c r="CF357" s="1656"/>
      <c r="CG357" s="1656"/>
      <c r="CH357" s="1656"/>
      <c r="CI357" s="1656"/>
      <c r="CJ357" s="1656"/>
      <c r="CK357" s="1656"/>
      <c r="CL357" s="1656"/>
      <c r="CM357" s="1656"/>
      <c r="CN357" s="1656"/>
      <c r="CO357" s="1656"/>
      <c r="CP357" s="1656"/>
      <c r="CQ357" s="1656"/>
      <c r="CR357" s="1656"/>
      <c r="CS357" s="1656"/>
      <c r="CT357" s="1656"/>
      <c r="CU357" s="1656"/>
      <c r="CV357" s="1656"/>
      <c r="CW357" s="1656"/>
      <c r="CX357" s="1656"/>
      <c r="CY357" s="1656"/>
      <c r="CZ357" s="1656"/>
      <c r="DA357" s="1656"/>
      <c r="DB357" s="1656"/>
      <c r="DC357" s="1656"/>
      <c r="DD357" s="1656"/>
      <c r="DE357" s="1656"/>
      <c r="DF357" s="1656"/>
      <c r="DG357" s="1656"/>
      <c r="DH357" s="1656"/>
      <c r="DI357" s="1656"/>
      <c r="DJ357" s="1656"/>
      <c r="DK357" s="1656"/>
      <c r="DL357" s="1656"/>
      <c r="DM357" s="1656"/>
      <c r="DN357" s="1656"/>
      <c r="DO357" s="1656"/>
      <c r="DP357" s="1656"/>
      <c r="DQ357" s="1656"/>
      <c r="DR357" s="1656"/>
      <c r="DS357" s="1656"/>
      <c r="DT357" s="1656"/>
      <c r="DU357" s="1656"/>
      <c r="DV357" s="1656"/>
      <c r="DW357" s="1656"/>
      <c r="DX357" s="1656"/>
      <c r="DY357" s="1656"/>
      <c r="DZ357" s="1656"/>
      <c r="EA357" s="1656"/>
      <c r="EB357" s="1656"/>
      <c r="EC357" s="1656"/>
      <c r="ED357" s="1656"/>
      <c r="EE357" s="1656"/>
      <c r="EF357" s="1656"/>
      <c r="EG357" s="1656"/>
      <c r="EH357" s="1656"/>
      <c r="EI357" s="1656"/>
      <c r="EJ357" s="1656"/>
      <c r="EK357" s="1656"/>
      <c r="EL357" s="1656"/>
      <c r="EM357" s="1656"/>
      <c r="EN357" s="1656"/>
      <c r="EO357" s="1656"/>
      <c r="EP357" s="1656"/>
      <c r="EQ357" s="1656"/>
      <c r="ER357" s="1656"/>
      <c r="ES357" s="1656"/>
      <c r="ET357" s="1656"/>
      <c r="EU357" s="1656"/>
      <c r="EV357" s="1656"/>
      <c r="EW357" s="1656"/>
      <c r="EX357" s="1656"/>
      <c r="EY357" s="1656"/>
      <c r="EZ357" s="1656"/>
      <c r="FA357" s="1656"/>
      <c r="FB357" s="1656"/>
      <c r="FC357" s="1656"/>
      <c r="FD357" s="1656"/>
      <c r="FE357" s="1656"/>
      <c r="FF357" s="1656"/>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26" orientation="portrait" r:id="rId1"/>
  <colBreaks count="1" manualBreakCount="1">
    <brk id="11" max="15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09"/>
  <sheetViews>
    <sheetView topLeftCell="A62" zoomScaleNormal="100" workbookViewId="0">
      <selection activeCell="K62" sqref="K62"/>
    </sheetView>
  </sheetViews>
  <sheetFormatPr defaultRowHeight="15"/>
  <cols>
    <col min="1" max="2" width="4.7109375" customWidth="1"/>
    <col min="3" max="3" width="59.85546875" customWidth="1"/>
    <col min="4" max="4" width="3.140625" customWidth="1"/>
    <col min="5" max="5" width="14.42578125" style="301" customWidth="1"/>
    <col min="6" max="6" width="15.28515625" customWidth="1"/>
    <col min="7" max="7" width="13.7109375" customWidth="1"/>
    <col min="9" max="9" width="14.42578125" customWidth="1"/>
    <col min="10" max="10" width="12.85546875" bestFit="1" customWidth="1"/>
    <col min="11" max="11" width="14" bestFit="1" customWidth="1"/>
    <col min="13" max="13" width="15.28515625" bestFit="1" customWidth="1"/>
    <col min="16" max="16" width="9.85546875" bestFit="1" customWidth="1"/>
    <col min="17" max="17" width="3.85546875" customWidth="1"/>
    <col min="18" max="18" width="11.85546875" customWidth="1"/>
  </cols>
  <sheetData>
    <row r="1" spans="1:8" ht="18">
      <c r="A1" s="1905" t="s">
        <v>344</v>
      </c>
      <c r="B1" s="1905"/>
      <c r="C1" s="1905"/>
      <c r="D1" s="1905"/>
      <c r="E1" s="1905"/>
      <c r="F1" s="1905"/>
      <c r="G1" s="1905"/>
      <c r="H1" s="1906"/>
    </row>
    <row r="2" spans="1:8">
      <c r="A2" s="1"/>
    </row>
    <row r="3" spans="1:8" ht="15.75">
      <c r="A3" s="1907" t="s">
        <v>292</v>
      </c>
      <c r="B3" s="1908"/>
      <c r="C3" s="1908"/>
      <c r="D3" s="1908"/>
      <c r="E3" s="1908"/>
      <c r="F3" s="1906"/>
      <c r="G3" s="1906"/>
      <c r="H3" s="1906"/>
    </row>
    <row r="5" spans="1:8">
      <c r="D5" s="4"/>
      <c r="G5" s="1154"/>
    </row>
    <row r="7" spans="1:8">
      <c r="D7" s="514"/>
      <c r="E7" s="514" t="s">
        <v>293</v>
      </c>
      <c r="F7" s="514"/>
      <c r="G7" s="514" t="s">
        <v>294</v>
      </c>
      <c r="H7" s="514"/>
    </row>
    <row r="8" spans="1:8">
      <c r="A8" s="515" t="s">
        <v>295</v>
      </c>
      <c r="B8" s="515"/>
      <c r="D8" s="514"/>
      <c r="E8" s="514" t="s">
        <v>296</v>
      </c>
      <c r="F8" s="514" t="s">
        <v>297</v>
      </c>
      <c r="G8" s="514" t="s">
        <v>128</v>
      </c>
      <c r="H8" s="514"/>
    </row>
    <row r="9" spans="1:8">
      <c r="A9" s="515"/>
      <c r="B9" s="515"/>
      <c r="D9" s="514"/>
      <c r="E9" s="516"/>
      <c r="F9" s="514"/>
      <c r="G9" s="514"/>
      <c r="H9" s="514"/>
    </row>
    <row r="10" spans="1:8">
      <c r="A10" s="515"/>
      <c r="B10" s="515"/>
      <c r="D10" s="514"/>
      <c r="E10" s="516"/>
      <c r="F10" s="514"/>
      <c r="G10" s="514"/>
      <c r="H10" s="514"/>
    </row>
    <row r="11" spans="1:8">
      <c r="D11" s="514"/>
      <c r="E11" s="516"/>
      <c r="G11" s="514"/>
      <c r="H11" s="517"/>
    </row>
    <row r="12" spans="1:8">
      <c r="B12" s="515" t="s">
        <v>129</v>
      </c>
      <c r="D12" s="514"/>
      <c r="E12" s="518"/>
      <c r="F12" s="519" t="s">
        <v>298</v>
      </c>
      <c r="G12" s="514"/>
      <c r="H12" s="517"/>
    </row>
    <row r="13" spans="1:8">
      <c r="D13" s="514"/>
      <c r="E13" s="518"/>
      <c r="F13" s="514"/>
      <c r="G13" s="514"/>
      <c r="H13" s="517"/>
    </row>
    <row r="14" spans="1:8" ht="26.25" customHeight="1">
      <c r="B14">
        <v>1</v>
      </c>
      <c r="C14" s="520" t="s">
        <v>299</v>
      </c>
      <c r="D14" s="428"/>
      <c r="E14" s="1829">
        <f>+'Prop taxes to function'!C36</f>
        <v>12358827.580715256</v>
      </c>
      <c r="F14" s="521">
        <v>1</v>
      </c>
      <c r="G14" s="522">
        <f t="shared" ref="G14:G20" si="0">+F14*E14</f>
        <v>12358827.580715256</v>
      </c>
      <c r="H14" s="428"/>
    </row>
    <row r="15" spans="1:8" ht="12.75" customHeight="1">
      <c r="B15" s="301" t="s">
        <v>300</v>
      </c>
      <c r="C15" s="520" t="s">
        <v>301</v>
      </c>
      <c r="D15" s="428"/>
      <c r="E15" s="1829">
        <f>+'Prop taxes to function'!C19-'Prop taxes to function'!C36</f>
        <v>42889493.749284744</v>
      </c>
      <c r="F15" s="521">
        <v>0</v>
      </c>
      <c r="G15" s="522">
        <f t="shared" si="0"/>
        <v>0</v>
      </c>
      <c r="H15" s="428"/>
    </row>
    <row r="16" spans="1:8" ht="12.75" customHeight="1">
      <c r="B16">
        <v>2</v>
      </c>
      <c r="C16" s="520" t="s">
        <v>302</v>
      </c>
      <c r="D16" s="428"/>
      <c r="E16" s="524"/>
      <c r="F16" s="525">
        <f>+F17</f>
        <v>0.18463185447367098</v>
      </c>
      <c r="G16" s="522">
        <f t="shared" si="0"/>
        <v>0</v>
      </c>
      <c r="H16" s="428"/>
    </row>
    <row r="17" spans="2:9" ht="12.75" customHeight="1">
      <c r="B17">
        <v>3</v>
      </c>
      <c r="C17" s="520" t="s">
        <v>303</v>
      </c>
      <c r="D17" s="428"/>
      <c r="E17" s="524"/>
      <c r="F17" s="525">
        <f>+F18</f>
        <v>0.18463185447367098</v>
      </c>
      <c r="G17" s="522">
        <f t="shared" si="0"/>
        <v>0</v>
      </c>
      <c r="H17" s="428"/>
    </row>
    <row r="18" spans="2:9" ht="12.75" customHeight="1">
      <c r="B18">
        <v>4</v>
      </c>
      <c r="C18" s="520" t="s">
        <v>304</v>
      </c>
      <c r="D18" s="428"/>
      <c r="E18" s="526"/>
      <c r="F18" s="525">
        <f>+F19</f>
        <v>0.18463185447367098</v>
      </c>
      <c r="G18" s="522">
        <f t="shared" si="0"/>
        <v>0</v>
      </c>
      <c r="H18" s="428"/>
    </row>
    <row r="19" spans="2:9" ht="12.75" customHeight="1">
      <c r="B19">
        <v>5</v>
      </c>
      <c r="C19" s="520" t="s">
        <v>305</v>
      </c>
      <c r="D19" s="428"/>
      <c r="E19" s="527"/>
      <c r="F19" s="525">
        <f>+F20</f>
        <v>0.18463185447367098</v>
      </c>
      <c r="G19" s="522">
        <f t="shared" si="0"/>
        <v>0</v>
      </c>
      <c r="H19" s="428"/>
    </row>
    <row r="20" spans="2:9" ht="12.75" customHeight="1">
      <c r="C20" s="7"/>
      <c r="D20" s="428"/>
      <c r="E20" s="527"/>
      <c r="F20" s="525">
        <f>'ATT H-9A'!H37</f>
        <v>0.18463185447367098</v>
      </c>
      <c r="G20" s="522">
        <f t="shared" si="0"/>
        <v>0</v>
      </c>
      <c r="H20" s="428"/>
    </row>
    <row r="21" spans="2:9" ht="12.75" customHeight="1">
      <c r="B21" s="515" t="s">
        <v>306</v>
      </c>
      <c r="D21" s="428"/>
      <c r="E21" s="528">
        <f>SUM(E14:E20)</f>
        <v>55248321.329999998</v>
      </c>
      <c r="G21" s="528">
        <f>SUM(G14:G20)</f>
        <v>12358827.580715256</v>
      </c>
      <c r="H21" s="428"/>
      <c r="I21" s="528"/>
    </row>
    <row r="22" spans="2:9" ht="12.75" customHeight="1">
      <c r="D22" s="428"/>
      <c r="E22" s="529"/>
      <c r="F22" s="428"/>
      <c r="G22" s="428"/>
      <c r="H22" s="428"/>
    </row>
    <row r="23" spans="2:9" ht="12.75" customHeight="1">
      <c r="D23" s="428"/>
      <c r="E23" s="529"/>
      <c r="F23" s="428"/>
      <c r="G23" s="428"/>
      <c r="H23" s="428"/>
    </row>
    <row r="24" spans="2:9" ht="12.75" customHeight="1">
      <c r="B24" s="515" t="s">
        <v>307</v>
      </c>
      <c r="D24" s="428"/>
      <c r="E24" s="529"/>
      <c r="F24" s="530" t="s">
        <v>308</v>
      </c>
      <c r="G24" s="428"/>
      <c r="H24" s="428"/>
    </row>
    <row r="25" spans="2:9" ht="12.75" customHeight="1">
      <c r="B25" s="515"/>
      <c r="D25" s="428"/>
      <c r="G25" s="428"/>
      <c r="H25" s="428"/>
    </row>
    <row r="26" spans="2:9" ht="12.75" customHeight="1">
      <c r="D26" s="428"/>
      <c r="E26" s="529"/>
      <c r="F26" s="428"/>
      <c r="G26" s="428"/>
      <c r="H26" s="428"/>
    </row>
    <row r="27" spans="2:9" ht="12.75" customHeight="1">
      <c r="B27">
        <v>6</v>
      </c>
      <c r="C27" s="520" t="s">
        <v>309</v>
      </c>
      <c r="D27" s="435"/>
      <c r="E27" s="1829">
        <f>6509939-E65</f>
        <v>6502127.1200000001</v>
      </c>
      <c r="F27" s="435"/>
      <c r="G27" s="435"/>
      <c r="H27" s="435"/>
    </row>
    <row r="28" spans="2:9">
      <c r="C28" s="523"/>
      <c r="E28" s="524"/>
    </row>
    <row r="29" spans="2:9">
      <c r="C29" s="7"/>
      <c r="E29" s="531"/>
    </row>
    <row r="30" spans="2:9">
      <c r="C30" s="7"/>
      <c r="E30" s="531"/>
    </row>
    <row r="31" spans="2:9">
      <c r="C31" s="7"/>
      <c r="E31" s="531"/>
    </row>
    <row r="32" spans="2:9">
      <c r="B32" s="515" t="s">
        <v>310</v>
      </c>
      <c r="E32" s="528">
        <f>SUM(E27:E31)</f>
        <v>6502127.1200000001</v>
      </c>
      <c r="F32" s="525">
        <f>'ATT H-9A'!H16</f>
        <v>0.10939366197352368</v>
      </c>
      <c r="G32" s="528">
        <f>+F32*E32</f>
        <v>711291.49627416104</v>
      </c>
    </row>
    <row r="33" spans="2:10">
      <c r="B33" s="515"/>
      <c r="C33" s="529"/>
      <c r="F33" s="5"/>
    </row>
    <row r="35" spans="2:10">
      <c r="B35" s="515" t="s">
        <v>311</v>
      </c>
      <c r="F35" s="519" t="s">
        <v>298</v>
      </c>
    </row>
    <row r="37" spans="2:10">
      <c r="B37">
        <v>7</v>
      </c>
      <c r="C37" s="520" t="s">
        <v>312</v>
      </c>
      <c r="E37" s="1829"/>
    </row>
    <row r="38" spans="2:10">
      <c r="C38" s="523"/>
      <c r="E38" s="524"/>
    </row>
    <row r="39" spans="2:10">
      <c r="C39" s="7"/>
      <c r="E39" s="531"/>
    </row>
    <row r="40" spans="2:10">
      <c r="C40" s="7"/>
      <c r="E40" s="531"/>
    </row>
    <row r="41" spans="2:10">
      <c r="B41" s="515" t="s">
        <v>313</v>
      </c>
      <c r="E41" s="528">
        <f>SUM(E37:E40)</f>
        <v>0</v>
      </c>
      <c r="F41" s="525">
        <f>'ATT H-9A'!H37</f>
        <v>0.18463185447367098</v>
      </c>
      <c r="G41" s="528">
        <f>+F41*E41</f>
        <v>0</v>
      </c>
    </row>
    <row r="43" spans="2:10">
      <c r="B43" s="515" t="s">
        <v>314</v>
      </c>
      <c r="G43" s="528">
        <f>+G41+G32+G21</f>
        <v>13070119.076989416</v>
      </c>
    </row>
    <row r="44" spans="2:10">
      <c r="C44" s="532"/>
    </row>
    <row r="45" spans="2:10">
      <c r="C45" s="532"/>
    </row>
    <row r="46" spans="2:10">
      <c r="C46" s="532"/>
    </row>
    <row r="47" spans="2:10">
      <c r="C47" s="515" t="s">
        <v>315</v>
      </c>
    </row>
    <row r="48" spans="2:10">
      <c r="G48" s="533"/>
      <c r="H48" s="5"/>
      <c r="I48" s="5"/>
      <c r="J48" s="534"/>
    </row>
    <row r="49" spans="1:20">
      <c r="B49">
        <v>8</v>
      </c>
      <c r="C49" s="520" t="s">
        <v>316</v>
      </c>
      <c r="D49" s="7"/>
      <c r="E49" s="1829">
        <v>26128424.810000002</v>
      </c>
      <c r="F49" s="430"/>
      <c r="H49" s="532"/>
      <c r="I49" s="5"/>
      <c r="J49" s="534"/>
      <c r="K49" s="5"/>
      <c r="L49" s="5"/>
      <c r="M49" s="5"/>
      <c r="N49" s="5"/>
      <c r="O49" s="5"/>
      <c r="P49" s="5"/>
      <c r="Q49" s="5"/>
      <c r="R49" s="5"/>
      <c r="S49" s="5"/>
      <c r="T49" s="5"/>
    </row>
    <row r="50" spans="1:20">
      <c r="B50">
        <v>9</v>
      </c>
      <c r="C50" s="520" t="s">
        <v>317</v>
      </c>
      <c r="D50" s="7"/>
      <c r="E50" s="1829">
        <v>1721247.18</v>
      </c>
      <c r="F50" s="430"/>
      <c r="H50" s="532"/>
      <c r="I50" s="5"/>
      <c r="J50" s="534"/>
      <c r="K50" s="5"/>
      <c r="L50" s="5"/>
      <c r="M50" s="5"/>
      <c r="N50" s="5"/>
      <c r="O50" s="5"/>
      <c r="P50" s="5"/>
      <c r="Q50" s="5"/>
      <c r="R50" s="5"/>
      <c r="S50" s="5"/>
      <c r="T50" s="5"/>
    </row>
    <row r="51" spans="1:20">
      <c r="B51">
        <v>10</v>
      </c>
      <c r="C51" s="520" t="s">
        <v>318</v>
      </c>
      <c r="D51" s="7"/>
      <c r="E51" s="1829">
        <v>7121995.3700000001</v>
      </c>
      <c r="H51" s="532"/>
      <c r="I51" s="5"/>
      <c r="J51" s="534"/>
      <c r="K51" s="5"/>
      <c r="L51" s="5"/>
      <c r="M51" s="5"/>
      <c r="N51" s="5"/>
      <c r="O51" s="5"/>
      <c r="P51" s="5"/>
      <c r="Q51" s="5"/>
      <c r="R51" s="5"/>
      <c r="S51" s="5"/>
      <c r="T51" s="5"/>
    </row>
    <row r="52" spans="1:20">
      <c r="B52">
        <v>11</v>
      </c>
      <c r="C52" s="520" t="s">
        <v>319</v>
      </c>
      <c r="D52" s="7"/>
      <c r="E52" s="1829">
        <v>122871199.16999996</v>
      </c>
      <c r="H52" s="532"/>
      <c r="I52" s="5"/>
      <c r="J52" s="534"/>
      <c r="K52" s="5"/>
      <c r="L52" s="5"/>
      <c r="M52" s="5"/>
      <c r="N52" s="5"/>
      <c r="O52" s="5"/>
      <c r="P52" s="5"/>
      <c r="Q52" s="5"/>
      <c r="R52" s="5"/>
      <c r="S52" s="5"/>
      <c r="T52" s="5"/>
    </row>
    <row r="53" spans="1:20">
      <c r="B53">
        <v>12</v>
      </c>
      <c r="C53" s="520" t="s">
        <v>320</v>
      </c>
      <c r="D53" s="7"/>
      <c r="E53" s="1829">
        <v>2582063.2799999998</v>
      </c>
    </row>
    <row r="54" spans="1:20">
      <c r="B54">
        <v>13</v>
      </c>
      <c r="C54" s="520" t="s">
        <v>321</v>
      </c>
      <c r="D54" s="7"/>
      <c r="E54" s="1829">
        <v>-5501</v>
      </c>
    </row>
    <row r="55" spans="1:20">
      <c r="B55">
        <v>14</v>
      </c>
      <c r="C55" s="520" t="s">
        <v>322</v>
      </c>
      <c r="D55" s="7"/>
      <c r="E55" s="1829">
        <v>617435.60999999975</v>
      </c>
    </row>
    <row r="56" spans="1:20">
      <c r="A56" s="5"/>
      <c r="B56">
        <v>15</v>
      </c>
      <c r="C56" s="520" t="s">
        <v>323</v>
      </c>
      <c r="D56" s="520"/>
      <c r="E56" s="1829">
        <v>11055373.800000001</v>
      </c>
    </row>
    <row r="57" spans="1:20">
      <c r="A57" s="5"/>
      <c r="B57">
        <v>16</v>
      </c>
      <c r="C57" s="520" t="s">
        <v>324</v>
      </c>
      <c r="D57" s="520"/>
      <c r="E57" s="1829">
        <v>73731051.809999987</v>
      </c>
      <c r="H57" s="1164"/>
    </row>
    <row r="58" spans="1:20">
      <c r="A58" s="5"/>
      <c r="B58">
        <v>17</v>
      </c>
      <c r="C58" s="520" t="s">
        <v>325</v>
      </c>
      <c r="D58" s="7"/>
      <c r="E58" s="1829">
        <v>4376192.7399999984</v>
      </c>
    </row>
    <row r="59" spans="1:20">
      <c r="A59" s="5"/>
      <c r="B59">
        <v>18</v>
      </c>
      <c r="C59" s="520" t="s">
        <v>326</v>
      </c>
      <c r="D59" s="7"/>
      <c r="E59" s="1829">
        <v>148295.87999999998</v>
      </c>
    </row>
    <row r="60" spans="1:20">
      <c r="A60" s="5"/>
      <c r="B60">
        <v>19</v>
      </c>
      <c r="C60" s="520" t="s">
        <v>327</v>
      </c>
      <c r="D60" s="7"/>
      <c r="E60" s="1829">
        <v>16500</v>
      </c>
    </row>
    <row r="61" spans="1:20">
      <c r="A61" s="5"/>
      <c r="B61">
        <v>20</v>
      </c>
      <c r="C61" s="520" t="s">
        <v>328</v>
      </c>
      <c r="D61" s="7"/>
      <c r="E61" s="1829">
        <v>22866372.479999993</v>
      </c>
    </row>
    <row r="62" spans="1:20">
      <c r="A62" s="5"/>
      <c r="B62">
        <v>21</v>
      </c>
      <c r="C62" s="520" t="s">
        <v>329</v>
      </c>
      <c r="D62" s="7"/>
      <c r="E62" s="1829">
        <v>29922734.139999993</v>
      </c>
    </row>
    <row r="63" spans="1:20">
      <c r="A63" s="5"/>
      <c r="B63">
        <v>22</v>
      </c>
      <c r="C63" s="520" t="s">
        <v>330</v>
      </c>
      <c r="D63" s="7"/>
      <c r="E63" s="1829">
        <v>507197.03000000014</v>
      </c>
    </row>
    <row r="64" spans="1:20">
      <c r="A64" s="5"/>
      <c r="B64">
        <v>23</v>
      </c>
      <c r="C64" s="520" t="s">
        <v>331</v>
      </c>
      <c r="D64" s="7"/>
      <c r="E64" s="1829">
        <v>717762.52</v>
      </c>
    </row>
    <row r="65" spans="2:8">
      <c r="B65" s="5">
        <v>24.1</v>
      </c>
      <c r="C65" s="520" t="s">
        <v>1164</v>
      </c>
      <c r="D65" s="7"/>
      <c r="E65" s="1829">
        <v>7811.8799999999992</v>
      </c>
      <c r="F65" s="199"/>
    </row>
    <row r="66" spans="2:8">
      <c r="B66" s="5">
        <v>25</v>
      </c>
      <c r="C66" s="535" t="s">
        <v>332</v>
      </c>
      <c r="D66" s="7"/>
      <c r="E66" s="1829">
        <f>SUM(E41:E65)+E32+E21</f>
        <v>366136605.14999992</v>
      </c>
    </row>
    <row r="67" spans="2:8">
      <c r="B67" s="5"/>
      <c r="C67" s="536"/>
      <c r="D67" s="7"/>
      <c r="E67" s="531"/>
    </row>
    <row r="68" spans="2:8">
      <c r="B68" s="5">
        <v>26</v>
      </c>
      <c r="C68" s="536" t="s">
        <v>333</v>
      </c>
      <c r="D68" s="537"/>
      <c r="E68" s="1830">
        <v>366136605</v>
      </c>
      <c r="F68" s="538"/>
      <c r="G68" s="538"/>
      <c r="H68" s="539"/>
    </row>
    <row r="69" spans="2:8">
      <c r="B69" s="5"/>
      <c r="C69" s="540"/>
      <c r="D69" s="540"/>
      <c r="E69" s="541"/>
      <c r="F69" s="538"/>
      <c r="G69" s="538"/>
      <c r="H69" s="539"/>
    </row>
    <row r="70" spans="2:8">
      <c r="B70">
        <v>27</v>
      </c>
      <c r="C70" s="540" t="s">
        <v>334</v>
      </c>
      <c r="D70" s="542"/>
      <c r="E70" s="543">
        <f>+E66-E68</f>
        <v>0.14999991655349731</v>
      </c>
      <c r="F70" s="538"/>
      <c r="G70" s="538"/>
      <c r="H70" s="539"/>
    </row>
    <row r="71" spans="2:8">
      <c r="C71" s="540"/>
      <c r="D71" s="542"/>
      <c r="E71" s="543"/>
      <c r="F71" s="538"/>
      <c r="G71" s="538"/>
      <c r="H71" s="539"/>
    </row>
    <row r="72" spans="2:8">
      <c r="B72" s="5" t="s">
        <v>335</v>
      </c>
      <c r="C72" s="442"/>
      <c r="D72" s="5"/>
      <c r="E72" s="544"/>
      <c r="F72" s="430"/>
      <c r="G72" s="430"/>
      <c r="H72" s="430"/>
    </row>
    <row r="73" spans="2:8">
      <c r="B73" s="5" t="s">
        <v>9</v>
      </c>
      <c r="C73" s="540" t="s">
        <v>336</v>
      </c>
      <c r="D73" s="5"/>
      <c r="E73" s="544"/>
      <c r="F73" s="430"/>
      <c r="G73" s="430"/>
      <c r="H73" s="430"/>
    </row>
    <row r="74" spans="2:8">
      <c r="B74" s="5"/>
      <c r="C74" s="540" t="s">
        <v>337</v>
      </c>
      <c r="D74" s="5"/>
      <c r="E74" s="544"/>
      <c r="F74" s="5"/>
      <c r="G74" s="430"/>
      <c r="H74" s="430"/>
    </row>
    <row r="75" spans="2:8">
      <c r="B75" s="5" t="s">
        <v>10</v>
      </c>
      <c r="C75" s="540" t="s">
        <v>338</v>
      </c>
      <c r="D75" s="5"/>
      <c r="E75" s="544"/>
      <c r="F75" s="5"/>
      <c r="G75" s="430"/>
      <c r="H75" s="430"/>
    </row>
    <row r="76" spans="2:8">
      <c r="B76" s="5"/>
      <c r="C76" s="540" t="s">
        <v>337</v>
      </c>
      <c r="D76" s="5"/>
      <c r="E76" s="544"/>
      <c r="F76" s="5"/>
      <c r="G76" s="430"/>
      <c r="H76" s="430"/>
    </row>
    <row r="77" spans="2:8">
      <c r="B77" s="5" t="s">
        <v>11</v>
      </c>
      <c r="C77" s="540" t="s">
        <v>339</v>
      </c>
      <c r="D77" s="5"/>
      <c r="E77" s="544"/>
      <c r="F77" s="5"/>
      <c r="G77" s="430"/>
      <c r="H77" s="430"/>
    </row>
    <row r="78" spans="2:8">
      <c r="B78" s="5" t="s">
        <v>14</v>
      </c>
      <c r="C78" s="540" t="s">
        <v>340</v>
      </c>
      <c r="D78" s="5"/>
      <c r="E78" s="544"/>
      <c r="F78" s="5"/>
      <c r="G78" s="430"/>
      <c r="H78" s="430"/>
    </row>
    <row r="79" spans="2:8">
      <c r="B79" s="5"/>
      <c r="C79" s="540" t="s">
        <v>341</v>
      </c>
      <c r="D79" s="5"/>
      <c r="E79" s="544"/>
      <c r="F79" s="5"/>
      <c r="G79" s="5"/>
      <c r="H79" s="5"/>
    </row>
    <row r="80" spans="2:8">
      <c r="B80" s="5"/>
      <c r="C80" s="540" t="s">
        <v>342</v>
      </c>
    </row>
    <row r="81" spans="1:3">
      <c r="B81" s="5" t="s">
        <v>166</v>
      </c>
      <c r="C81" s="540" t="s">
        <v>343</v>
      </c>
    </row>
    <row r="84" spans="1:3">
      <c r="A84" s="1153"/>
    </row>
    <row r="309" spans="3:3" ht="15.75">
      <c r="C309"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11"/>
  <sheetViews>
    <sheetView topLeftCell="A7" zoomScaleNormal="100" workbookViewId="0">
      <selection activeCell="O22" sqref="O22"/>
    </sheetView>
  </sheetViews>
  <sheetFormatPr defaultRowHeight="12.75"/>
  <cols>
    <col min="1" max="1" width="33.7109375" style="476" customWidth="1"/>
    <col min="2" max="2" width="15" style="476" hidden="1" customWidth="1"/>
    <col min="3" max="3" width="16.42578125" style="476" customWidth="1"/>
    <col min="4" max="4" width="16" style="476" bestFit="1" customWidth="1"/>
    <col min="5" max="5" width="27.7109375" style="476" customWidth="1"/>
    <col min="6" max="6" width="14.85546875" style="476" customWidth="1"/>
    <col min="7" max="254" width="9.140625" style="476"/>
    <col min="255" max="255" width="33.7109375" style="476" customWidth="1"/>
    <col min="256" max="256" width="0" style="476" hidden="1" customWidth="1"/>
    <col min="257" max="257" width="16.42578125" style="476" customWidth="1"/>
    <col min="258" max="259" width="0" style="476" hidden="1" customWidth="1"/>
    <col min="260" max="260" width="16" style="476" bestFit="1" customWidth="1"/>
    <col min="261" max="261" width="27.7109375" style="476" customWidth="1"/>
    <col min="262" max="262" width="14.85546875" style="476" customWidth="1"/>
    <col min="263" max="510" width="9.140625" style="476"/>
    <col min="511" max="511" width="33.7109375" style="476" customWidth="1"/>
    <col min="512" max="512" width="0" style="476" hidden="1" customWidth="1"/>
    <col min="513" max="513" width="16.42578125" style="476" customWidth="1"/>
    <col min="514" max="515" width="0" style="476" hidden="1" customWidth="1"/>
    <col min="516" max="516" width="16" style="476" bestFit="1" customWidth="1"/>
    <col min="517" max="517" width="27.7109375" style="476" customWidth="1"/>
    <col min="518" max="518" width="14.85546875" style="476" customWidth="1"/>
    <col min="519" max="766" width="9.140625" style="476"/>
    <col min="767" max="767" width="33.7109375" style="476" customWidth="1"/>
    <col min="768" max="768" width="0" style="476" hidden="1" customWidth="1"/>
    <col min="769" max="769" width="16.42578125" style="476" customWidth="1"/>
    <col min="770" max="771" width="0" style="476" hidden="1" customWidth="1"/>
    <col min="772" max="772" width="16" style="476" bestFit="1" customWidth="1"/>
    <col min="773" max="773" width="27.7109375" style="476" customWidth="1"/>
    <col min="774" max="774" width="14.85546875" style="476" customWidth="1"/>
    <col min="775" max="1022" width="9.140625" style="476"/>
    <col min="1023" max="1023" width="33.7109375" style="476" customWidth="1"/>
    <col min="1024" max="1024" width="0" style="476" hidden="1" customWidth="1"/>
    <col min="1025" max="1025" width="16.42578125" style="476" customWidth="1"/>
    <col min="1026" max="1027" width="0" style="476" hidden="1" customWidth="1"/>
    <col min="1028" max="1028" width="16" style="476" bestFit="1" customWidth="1"/>
    <col min="1029" max="1029" width="27.7109375" style="476" customWidth="1"/>
    <col min="1030" max="1030" width="14.85546875" style="476" customWidth="1"/>
    <col min="1031" max="1278" width="9.140625" style="476"/>
    <col min="1279" max="1279" width="33.7109375" style="476" customWidth="1"/>
    <col min="1280" max="1280" width="0" style="476" hidden="1" customWidth="1"/>
    <col min="1281" max="1281" width="16.42578125" style="476" customWidth="1"/>
    <col min="1282" max="1283" width="0" style="476" hidden="1" customWidth="1"/>
    <col min="1284" max="1284" width="16" style="476" bestFit="1" customWidth="1"/>
    <col min="1285" max="1285" width="27.7109375" style="476" customWidth="1"/>
    <col min="1286" max="1286" width="14.85546875" style="476" customWidth="1"/>
    <col min="1287" max="1534" width="9.140625" style="476"/>
    <col min="1535" max="1535" width="33.7109375" style="476" customWidth="1"/>
    <col min="1536" max="1536" width="0" style="476" hidden="1" customWidth="1"/>
    <col min="1537" max="1537" width="16.42578125" style="476" customWidth="1"/>
    <col min="1538" max="1539" width="0" style="476" hidden="1" customWidth="1"/>
    <col min="1540" max="1540" width="16" style="476" bestFit="1" customWidth="1"/>
    <col min="1541" max="1541" width="27.7109375" style="476" customWidth="1"/>
    <col min="1542" max="1542" width="14.85546875" style="476" customWidth="1"/>
    <col min="1543" max="1790" width="9.140625" style="476"/>
    <col min="1791" max="1791" width="33.7109375" style="476" customWidth="1"/>
    <col min="1792" max="1792" width="0" style="476" hidden="1" customWidth="1"/>
    <col min="1793" max="1793" width="16.42578125" style="476" customWidth="1"/>
    <col min="1794" max="1795" width="0" style="476" hidden="1" customWidth="1"/>
    <col min="1796" max="1796" width="16" style="476" bestFit="1" customWidth="1"/>
    <col min="1797" max="1797" width="27.7109375" style="476" customWidth="1"/>
    <col min="1798" max="1798" width="14.85546875" style="476" customWidth="1"/>
    <col min="1799" max="2046" width="9.140625" style="476"/>
    <col min="2047" max="2047" width="33.7109375" style="476" customWidth="1"/>
    <col min="2048" max="2048" width="0" style="476" hidden="1" customWidth="1"/>
    <col min="2049" max="2049" width="16.42578125" style="476" customWidth="1"/>
    <col min="2050" max="2051" width="0" style="476" hidden="1" customWidth="1"/>
    <col min="2052" max="2052" width="16" style="476" bestFit="1" customWidth="1"/>
    <col min="2053" max="2053" width="27.7109375" style="476" customWidth="1"/>
    <col min="2054" max="2054" width="14.85546875" style="476" customWidth="1"/>
    <col min="2055" max="2302" width="9.140625" style="476"/>
    <col min="2303" max="2303" width="33.7109375" style="476" customWidth="1"/>
    <col min="2304" max="2304" width="0" style="476" hidden="1" customWidth="1"/>
    <col min="2305" max="2305" width="16.42578125" style="476" customWidth="1"/>
    <col min="2306" max="2307" width="0" style="476" hidden="1" customWidth="1"/>
    <col min="2308" max="2308" width="16" style="476" bestFit="1" customWidth="1"/>
    <col min="2309" max="2309" width="27.7109375" style="476" customWidth="1"/>
    <col min="2310" max="2310" width="14.85546875" style="476" customWidth="1"/>
    <col min="2311" max="2558" width="9.140625" style="476"/>
    <col min="2559" max="2559" width="33.7109375" style="476" customWidth="1"/>
    <col min="2560" max="2560" width="0" style="476" hidden="1" customWidth="1"/>
    <col min="2561" max="2561" width="16.42578125" style="476" customWidth="1"/>
    <col min="2562" max="2563" width="0" style="476" hidden="1" customWidth="1"/>
    <col min="2564" max="2564" width="16" style="476" bestFit="1" customWidth="1"/>
    <col min="2565" max="2565" width="27.7109375" style="476" customWidth="1"/>
    <col min="2566" max="2566" width="14.85546875" style="476" customWidth="1"/>
    <col min="2567" max="2814" width="9.140625" style="476"/>
    <col min="2815" max="2815" width="33.7109375" style="476" customWidth="1"/>
    <col min="2816" max="2816" width="0" style="476" hidden="1" customWidth="1"/>
    <col min="2817" max="2817" width="16.42578125" style="476" customWidth="1"/>
    <col min="2818" max="2819" width="0" style="476" hidden="1" customWidth="1"/>
    <col min="2820" max="2820" width="16" style="476" bestFit="1" customWidth="1"/>
    <col min="2821" max="2821" width="27.7109375" style="476" customWidth="1"/>
    <col min="2822" max="2822" width="14.85546875" style="476" customWidth="1"/>
    <col min="2823" max="3070" width="9.140625" style="476"/>
    <col min="3071" max="3071" width="33.7109375" style="476" customWidth="1"/>
    <col min="3072" max="3072" width="0" style="476" hidden="1" customWidth="1"/>
    <col min="3073" max="3073" width="16.42578125" style="476" customWidth="1"/>
    <col min="3074" max="3075" width="0" style="476" hidden="1" customWidth="1"/>
    <col min="3076" max="3076" width="16" style="476" bestFit="1" customWidth="1"/>
    <col min="3077" max="3077" width="27.7109375" style="476" customWidth="1"/>
    <col min="3078" max="3078" width="14.85546875" style="476" customWidth="1"/>
    <col min="3079" max="3326" width="9.140625" style="476"/>
    <col min="3327" max="3327" width="33.7109375" style="476" customWidth="1"/>
    <col min="3328" max="3328" width="0" style="476" hidden="1" customWidth="1"/>
    <col min="3329" max="3329" width="16.42578125" style="476" customWidth="1"/>
    <col min="3330" max="3331" width="0" style="476" hidden="1" customWidth="1"/>
    <col min="3332" max="3332" width="16" style="476" bestFit="1" customWidth="1"/>
    <col min="3333" max="3333" width="27.7109375" style="476" customWidth="1"/>
    <col min="3334" max="3334" width="14.85546875" style="476" customWidth="1"/>
    <col min="3335" max="3582" width="9.140625" style="476"/>
    <col min="3583" max="3583" width="33.7109375" style="476" customWidth="1"/>
    <col min="3584" max="3584" width="0" style="476" hidden="1" customWidth="1"/>
    <col min="3585" max="3585" width="16.42578125" style="476" customWidth="1"/>
    <col min="3586" max="3587" width="0" style="476" hidden="1" customWidth="1"/>
    <col min="3588" max="3588" width="16" style="476" bestFit="1" customWidth="1"/>
    <col min="3589" max="3589" width="27.7109375" style="476" customWidth="1"/>
    <col min="3590" max="3590" width="14.85546875" style="476" customWidth="1"/>
    <col min="3591" max="3838" width="9.140625" style="476"/>
    <col min="3839" max="3839" width="33.7109375" style="476" customWidth="1"/>
    <col min="3840" max="3840" width="0" style="476" hidden="1" customWidth="1"/>
    <col min="3841" max="3841" width="16.42578125" style="476" customWidth="1"/>
    <col min="3842" max="3843" width="0" style="476" hidden="1" customWidth="1"/>
    <col min="3844" max="3844" width="16" style="476" bestFit="1" customWidth="1"/>
    <col min="3845" max="3845" width="27.7109375" style="476" customWidth="1"/>
    <col min="3846" max="3846" width="14.85546875" style="476" customWidth="1"/>
    <col min="3847" max="4094" width="9.140625" style="476"/>
    <col min="4095" max="4095" width="33.7109375" style="476" customWidth="1"/>
    <col min="4096" max="4096" width="0" style="476" hidden="1" customWidth="1"/>
    <col min="4097" max="4097" width="16.42578125" style="476" customWidth="1"/>
    <col min="4098" max="4099" width="0" style="476" hidden="1" customWidth="1"/>
    <col min="4100" max="4100" width="16" style="476" bestFit="1" customWidth="1"/>
    <col min="4101" max="4101" width="27.7109375" style="476" customWidth="1"/>
    <col min="4102" max="4102" width="14.85546875" style="476" customWidth="1"/>
    <col min="4103" max="4350" width="9.140625" style="476"/>
    <col min="4351" max="4351" width="33.7109375" style="476" customWidth="1"/>
    <col min="4352" max="4352" width="0" style="476" hidden="1" customWidth="1"/>
    <col min="4353" max="4353" width="16.42578125" style="476" customWidth="1"/>
    <col min="4354" max="4355" width="0" style="476" hidden="1" customWidth="1"/>
    <col min="4356" max="4356" width="16" style="476" bestFit="1" customWidth="1"/>
    <col min="4357" max="4357" width="27.7109375" style="476" customWidth="1"/>
    <col min="4358" max="4358" width="14.85546875" style="476" customWidth="1"/>
    <col min="4359" max="4606" width="9.140625" style="476"/>
    <col min="4607" max="4607" width="33.7109375" style="476" customWidth="1"/>
    <col min="4608" max="4608" width="0" style="476" hidden="1" customWidth="1"/>
    <col min="4609" max="4609" width="16.42578125" style="476" customWidth="1"/>
    <col min="4610" max="4611" width="0" style="476" hidden="1" customWidth="1"/>
    <col min="4612" max="4612" width="16" style="476" bestFit="1" customWidth="1"/>
    <col min="4613" max="4613" width="27.7109375" style="476" customWidth="1"/>
    <col min="4614" max="4614" width="14.85546875" style="476" customWidth="1"/>
    <col min="4615" max="4862" width="9.140625" style="476"/>
    <col min="4863" max="4863" width="33.7109375" style="476" customWidth="1"/>
    <col min="4864" max="4864" width="0" style="476" hidden="1" customWidth="1"/>
    <col min="4865" max="4865" width="16.42578125" style="476" customWidth="1"/>
    <col min="4866" max="4867" width="0" style="476" hidden="1" customWidth="1"/>
    <col min="4868" max="4868" width="16" style="476" bestFit="1" customWidth="1"/>
    <col min="4869" max="4869" width="27.7109375" style="476" customWidth="1"/>
    <col min="4870" max="4870" width="14.85546875" style="476" customWidth="1"/>
    <col min="4871" max="5118" width="9.140625" style="476"/>
    <col min="5119" max="5119" width="33.7109375" style="476" customWidth="1"/>
    <col min="5120" max="5120" width="0" style="476" hidden="1" customWidth="1"/>
    <col min="5121" max="5121" width="16.42578125" style="476" customWidth="1"/>
    <col min="5122" max="5123" width="0" style="476" hidden="1" customWidth="1"/>
    <col min="5124" max="5124" width="16" style="476" bestFit="1" customWidth="1"/>
    <col min="5125" max="5125" width="27.7109375" style="476" customWidth="1"/>
    <col min="5126" max="5126" width="14.85546875" style="476" customWidth="1"/>
    <col min="5127" max="5374" width="9.140625" style="476"/>
    <col min="5375" max="5375" width="33.7109375" style="476" customWidth="1"/>
    <col min="5376" max="5376" width="0" style="476" hidden="1" customWidth="1"/>
    <col min="5377" max="5377" width="16.42578125" style="476" customWidth="1"/>
    <col min="5378" max="5379" width="0" style="476" hidden="1" customWidth="1"/>
    <col min="5380" max="5380" width="16" style="476" bestFit="1" customWidth="1"/>
    <col min="5381" max="5381" width="27.7109375" style="476" customWidth="1"/>
    <col min="5382" max="5382" width="14.85546875" style="476" customWidth="1"/>
    <col min="5383" max="5630" width="9.140625" style="476"/>
    <col min="5631" max="5631" width="33.7109375" style="476" customWidth="1"/>
    <col min="5632" max="5632" width="0" style="476" hidden="1" customWidth="1"/>
    <col min="5633" max="5633" width="16.42578125" style="476" customWidth="1"/>
    <col min="5634" max="5635" width="0" style="476" hidden="1" customWidth="1"/>
    <col min="5636" max="5636" width="16" style="476" bestFit="1" customWidth="1"/>
    <col min="5637" max="5637" width="27.7109375" style="476" customWidth="1"/>
    <col min="5638" max="5638" width="14.85546875" style="476" customWidth="1"/>
    <col min="5639" max="5886" width="9.140625" style="476"/>
    <col min="5887" max="5887" width="33.7109375" style="476" customWidth="1"/>
    <col min="5888" max="5888" width="0" style="476" hidden="1" customWidth="1"/>
    <col min="5889" max="5889" width="16.42578125" style="476" customWidth="1"/>
    <col min="5890" max="5891" width="0" style="476" hidden="1" customWidth="1"/>
    <col min="5892" max="5892" width="16" style="476" bestFit="1" customWidth="1"/>
    <col min="5893" max="5893" width="27.7109375" style="476" customWidth="1"/>
    <col min="5894" max="5894" width="14.85546875" style="476" customWidth="1"/>
    <col min="5895" max="6142" width="9.140625" style="476"/>
    <col min="6143" max="6143" width="33.7109375" style="476" customWidth="1"/>
    <col min="6144" max="6144" width="0" style="476" hidden="1" customWidth="1"/>
    <col min="6145" max="6145" width="16.42578125" style="476" customWidth="1"/>
    <col min="6146" max="6147" width="0" style="476" hidden="1" customWidth="1"/>
    <col min="6148" max="6148" width="16" style="476" bestFit="1" customWidth="1"/>
    <col min="6149" max="6149" width="27.7109375" style="476" customWidth="1"/>
    <col min="6150" max="6150" width="14.85546875" style="476" customWidth="1"/>
    <col min="6151" max="6398" width="9.140625" style="476"/>
    <col min="6399" max="6399" width="33.7109375" style="476" customWidth="1"/>
    <col min="6400" max="6400" width="0" style="476" hidden="1" customWidth="1"/>
    <col min="6401" max="6401" width="16.42578125" style="476" customWidth="1"/>
    <col min="6402" max="6403" width="0" style="476" hidden="1" customWidth="1"/>
    <col min="6404" max="6404" width="16" style="476" bestFit="1" customWidth="1"/>
    <col min="6405" max="6405" width="27.7109375" style="476" customWidth="1"/>
    <col min="6406" max="6406" width="14.85546875" style="476" customWidth="1"/>
    <col min="6407" max="6654" width="9.140625" style="476"/>
    <col min="6655" max="6655" width="33.7109375" style="476" customWidth="1"/>
    <col min="6656" max="6656" width="0" style="476" hidden="1" customWidth="1"/>
    <col min="6657" max="6657" width="16.42578125" style="476" customWidth="1"/>
    <col min="6658" max="6659" width="0" style="476" hidden="1" customWidth="1"/>
    <col min="6660" max="6660" width="16" style="476" bestFit="1" customWidth="1"/>
    <col min="6661" max="6661" width="27.7109375" style="476" customWidth="1"/>
    <col min="6662" max="6662" width="14.85546875" style="476" customWidth="1"/>
    <col min="6663" max="6910" width="9.140625" style="476"/>
    <col min="6911" max="6911" width="33.7109375" style="476" customWidth="1"/>
    <col min="6912" max="6912" width="0" style="476" hidden="1" customWidth="1"/>
    <col min="6913" max="6913" width="16.42578125" style="476" customWidth="1"/>
    <col min="6914" max="6915" width="0" style="476" hidden="1" customWidth="1"/>
    <col min="6916" max="6916" width="16" style="476" bestFit="1" customWidth="1"/>
    <col min="6917" max="6917" width="27.7109375" style="476" customWidth="1"/>
    <col min="6918" max="6918" width="14.85546875" style="476" customWidth="1"/>
    <col min="6919" max="7166" width="9.140625" style="476"/>
    <col min="7167" max="7167" width="33.7109375" style="476" customWidth="1"/>
    <col min="7168" max="7168" width="0" style="476" hidden="1" customWidth="1"/>
    <col min="7169" max="7169" width="16.42578125" style="476" customWidth="1"/>
    <col min="7170" max="7171" width="0" style="476" hidden="1" customWidth="1"/>
    <col min="7172" max="7172" width="16" style="476" bestFit="1" customWidth="1"/>
    <col min="7173" max="7173" width="27.7109375" style="476" customWidth="1"/>
    <col min="7174" max="7174" width="14.85546875" style="476" customWidth="1"/>
    <col min="7175" max="7422" width="9.140625" style="476"/>
    <col min="7423" max="7423" width="33.7109375" style="476" customWidth="1"/>
    <col min="7424" max="7424" width="0" style="476" hidden="1" customWidth="1"/>
    <col min="7425" max="7425" width="16.42578125" style="476" customWidth="1"/>
    <col min="7426" max="7427" width="0" style="476" hidden="1" customWidth="1"/>
    <col min="7428" max="7428" width="16" style="476" bestFit="1" customWidth="1"/>
    <col min="7429" max="7429" width="27.7109375" style="476" customWidth="1"/>
    <col min="7430" max="7430" width="14.85546875" style="476" customWidth="1"/>
    <col min="7431" max="7678" width="9.140625" style="476"/>
    <col min="7679" max="7679" width="33.7109375" style="476" customWidth="1"/>
    <col min="7680" max="7680" width="0" style="476" hidden="1" customWidth="1"/>
    <col min="7681" max="7681" width="16.42578125" style="476" customWidth="1"/>
    <col min="7682" max="7683" width="0" style="476" hidden="1" customWidth="1"/>
    <col min="7684" max="7684" width="16" style="476" bestFit="1" customWidth="1"/>
    <col min="7685" max="7685" width="27.7109375" style="476" customWidth="1"/>
    <col min="7686" max="7686" width="14.85546875" style="476" customWidth="1"/>
    <col min="7687" max="7934" width="9.140625" style="476"/>
    <col min="7935" max="7935" width="33.7109375" style="476" customWidth="1"/>
    <col min="7936" max="7936" width="0" style="476" hidden="1" customWidth="1"/>
    <col min="7937" max="7937" width="16.42578125" style="476" customWidth="1"/>
    <col min="7938" max="7939" width="0" style="476" hidden="1" customWidth="1"/>
    <col min="7940" max="7940" width="16" style="476" bestFit="1" customWidth="1"/>
    <col min="7941" max="7941" width="27.7109375" style="476" customWidth="1"/>
    <col min="7942" max="7942" width="14.85546875" style="476" customWidth="1"/>
    <col min="7943" max="8190" width="9.140625" style="476"/>
    <col min="8191" max="8191" width="33.7109375" style="476" customWidth="1"/>
    <col min="8192" max="8192" width="0" style="476" hidden="1" customWidth="1"/>
    <col min="8193" max="8193" width="16.42578125" style="476" customWidth="1"/>
    <col min="8194" max="8195" width="0" style="476" hidden="1" customWidth="1"/>
    <col min="8196" max="8196" width="16" style="476" bestFit="1" customWidth="1"/>
    <col min="8197" max="8197" width="27.7109375" style="476" customWidth="1"/>
    <col min="8198" max="8198" width="14.85546875" style="476" customWidth="1"/>
    <col min="8199" max="8446" width="9.140625" style="476"/>
    <col min="8447" max="8447" width="33.7109375" style="476" customWidth="1"/>
    <col min="8448" max="8448" width="0" style="476" hidden="1" customWidth="1"/>
    <col min="8449" max="8449" width="16.42578125" style="476" customWidth="1"/>
    <col min="8450" max="8451" width="0" style="476" hidden="1" customWidth="1"/>
    <col min="8452" max="8452" width="16" style="476" bestFit="1" customWidth="1"/>
    <col min="8453" max="8453" width="27.7109375" style="476" customWidth="1"/>
    <col min="8454" max="8454" width="14.85546875" style="476" customWidth="1"/>
    <col min="8455" max="8702" width="9.140625" style="476"/>
    <col min="8703" max="8703" width="33.7109375" style="476" customWidth="1"/>
    <col min="8704" max="8704" width="0" style="476" hidden="1" customWidth="1"/>
    <col min="8705" max="8705" width="16.42578125" style="476" customWidth="1"/>
    <col min="8706" max="8707" width="0" style="476" hidden="1" customWidth="1"/>
    <col min="8708" max="8708" width="16" style="476" bestFit="1" customWidth="1"/>
    <col min="8709" max="8709" width="27.7109375" style="476" customWidth="1"/>
    <col min="8710" max="8710" width="14.85546875" style="476" customWidth="1"/>
    <col min="8711" max="8958" width="9.140625" style="476"/>
    <col min="8959" max="8959" width="33.7109375" style="476" customWidth="1"/>
    <col min="8960" max="8960" width="0" style="476" hidden="1" customWidth="1"/>
    <col min="8961" max="8961" width="16.42578125" style="476" customWidth="1"/>
    <col min="8962" max="8963" width="0" style="476" hidden="1" customWidth="1"/>
    <col min="8964" max="8964" width="16" style="476" bestFit="1" customWidth="1"/>
    <col min="8965" max="8965" width="27.7109375" style="476" customWidth="1"/>
    <col min="8966" max="8966" width="14.85546875" style="476" customWidth="1"/>
    <col min="8967" max="9214" width="9.140625" style="476"/>
    <col min="9215" max="9215" width="33.7109375" style="476" customWidth="1"/>
    <col min="9216" max="9216" width="0" style="476" hidden="1" customWidth="1"/>
    <col min="9217" max="9217" width="16.42578125" style="476" customWidth="1"/>
    <col min="9218" max="9219" width="0" style="476" hidden="1" customWidth="1"/>
    <col min="9220" max="9220" width="16" style="476" bestFit="1" customWidth="1"/>
    <col min="9221" max="9221" width="27.7109375" style="476" customWidth="1"/>
    <col min="9222" max="9222" width="14.85546875" style="476" customWidth="1"/>
    <col min="9223" max="9470" width="9.140625" style="476"/>
    <col min="9471" max="9471" width="33.7109375" style="476" customWidth="1"/>
    <col min="9472" max="9472" width="0" style="476" hidden="1" customWidth="1"/>
    <col min="9473" max="9473" width="16.42578125" style="476" customWidth="1"/>
    <col min="9474" max="9475" width="0" style="476" hidden="1" customWidth="1"/>
    <col min="9476" max="9476" width="16" style="476" bestFit="1" customWidth="1"/>
    <col min="9477" max="9477" width="27.7109375" style="476" customWidth="1"/>
    <col min="9478" max="9478" width="14.85546875" style="476" customWidth="1"/>
    <col min="9479" max="9726" width="9.140625" style="476"/>
    <col min="9727" max="9727" width="33.7109375" style="476" customWidth="1"/>
    <col min="9728" max="9728" width="0" style="476" hidden="1" customWidth="1"/>
    <col min="9729" max="9729" width="16.42578125" style="476" customWidth="1"/>
    <col min="9730" max="9731" width="0" style="476" hidden="1" customWidth="1"/>
    <col min="9732" max="9732" width="16" style="476" bestFit="1" customWidth="1"/>
    <col min="9733" max="9733" width="27.7109375" style="476" customWidth="1"/>
    <col min="9734" max="9734" width="14.85546875" style="476" customWidth="1"/>
    <col min="9735" max="9982" width="9.140625" style="476"/>
    <col min="9983" max="9983" width="33.7109375" style="476" customWidth="1"/>
    <col min="9984" max="9984" width="0" style="476" hidden="1" customWidth="1"/>
    <col min="9985" max="9985" width="16.42578125" style="476" customWidth="1"/>
    <col min="9986" max="9987" width="0" style="476" hidden="1" customWidth="1"/>
    <col min="9988" max="9988" width="16" style="476" bestFit="1" customWidth="1"/>
    <col min="9989" max="9989" width="27.7109375" style="476" customWidth="1"/>
    <col min="9990" max="9990" width="14.85546875" style="476" customWidth="1"/>
    <col min="9991" max="10238" width="9.140625" style="476"/>
    <col min="10239" max="10239" width="33.7109375" style="476" customWidth="1"/>
    <col min="10240" max="10240" width="0" style="476" hidden="1" customWidth="1"/>
    <col min="10241" max="10241" width="16.42578125" style="476" customWidth="1"/>
    <col min="10242" max="10243" width="0" style="476" hidden="1" customWidth="1"/>
    <col min="10244" max="10244" width="16" style="476" bestFit="1" customWidth="1"/>
    <col min="10245" max="10245" width="27.7109375" style="476" customWidth="1"/>
    <col min="10246" max="10246" width="14.85546875" style="476" customWidth="1"/>
    <col min="10247" max="10494" width="9.140625" style="476"/>
    <col min="10495" max="10495" width="33.7109375" style="476" customWidth="1"/>
    <col min="10496" max="10496" width="0" style="476" hidden="1" customWidth="1"/>
    <col min="10497" max="10497" width="16.42578125" style="476" customWidth="1"/>
    <col min="10498" max="10499" width="0" style="476" hidden="1" customWidth="1"/>
    <col min="10500" max="10500" width="16" style="476" bestFit="1" customWidth="1"/>
    <col min="10501" max="10501" width="27.7109375" style="476" customWidth="1"/>
    <col min="10502" max="10502" width="14.85546875" style="476" customWidth="1"/>
    <col min="10503" max="10750" width="9.140625" style="476"/>
    <col min="10751" max="10751" width="33.7109375" style="476" customWidth="1"/>
    <col min="10752" max="10752" width="0" style="476" hidden="1" customWidth="1"/>
    <col min="10753" max="10753" width="16.42578125" style="476" customWidth="1"/>
    <col min="10754" max="10755" width="0" style="476" hidden="1" customWidth="1"/>
    <col min="10756" max="10756" width="16" style="476" bestFit="1" customWidth="1"/>
    <col min="10757" max="10757" width="27.7109375" style="476" customWidth="1"/>
    <col min="10758" max="10758" width="14.85546875" style="476" customWidth="1"/>
    <col min="10759" max="11006" width="9.140625" style="476"/>
    <col min="11007" max="11007" width="33.7109375" style="476" customWidth="1"/>
    <col min="11008" max="11008" width="0" style="476" hidden="1" customWidth="1"/>
    <col min="11009" max="11009" width="16.42578125" style="476" customWidth="1"/>
    <col min="11010" max="11011" width="0" style="476" hidden="1" customWidth="1"/>
    <col min="11012" max="11012" width="16" style="476" bestFit="1" customWidth="1"/>
    <col min="11013" max="11013" width="27.7109375" style="476" customWidth="1"/>
    <col min="11014" max="11014" width="14.85546875" style="476" customWidth="1"/>
    <col min="11015" max="11262" width="9.140625" style="476"/>
    <col min="11263" max="11263" width="33.7109375" style="476" customWidth="1"/>
    <col min="11264" max="11264" width="0" style="476" hidden="1" customWidth="1"/>
    <col min="11265" max="11265" width="16.42578125" style="476" customWidth="1"/>
    <col min="11266" max="11267" width="0" style="476" hidden="1" customWidth="1"/>
    <col min="11268" max="11268" width="16" style="476" bestFit="1" customWidth="1"/>
    <col min="11269" max="11269" width="27.7109375" style="476" customWidth="1"/>
    <col min="11270" max="11270" width="14.85546875" style="476" customWidth="1"/>
    <col min="11271" max="11518" width="9.140625" style="476"/>
    <col min="11519" max="11519" width="33.7109375" style="476" customWidth="1"/>
    <col min="11520" max="11520" width="0" style="476" hidden="1" customWidth="1"/>
    <col min="11521" max="11521" width="16.42578125" style="476" customWidth="1"/>
    <col min="11522" max="11523" width="0" style="476" hidden="1" customWidth="1"/>
    <col min="11524" max="11524" width="16" style="476" bestFit="1" customWidth="1"/>
    <col min="11525" max="11525" width="27.7109375" style="476" customWidth="1"/>
    <col min="11526" max="11526" width="14.85546875" style="476" customWidth="1"/>
    <col min="11527" max="11774" width="9.140625" style="476"/>
    <col min="11775" max="11775" width="33.7109375" style="476" customWidth="1"/>
    <col min="11776" max="11776" width="0" style="476" hidden="1" customWidth="1"/>
    <col min="11777" max="11777" width="16.42578125" style="476" customWidth="1"/>
    <col min="11778" max="11779" width="0" style="476" hidden="1" customWidth="1"/>
    <col min="11780" max="11780" width="16" style="476" bestFit="1" customWidth="1"/>
    <col min="11781" max="11781" width="27.7109375" style="476" customWidth="1"/>
    <col min="11782" max="11782" width="14.85546875" style="476" customWidth="1"/>
    <col min="11783" max="12030" width="9.140625" style="476"/>
    <col min="12031" max="12031" width="33.7109375" style="476" customWidth="1"/>
    <col min="12032" max="12032" width="0" style="476" hidden="1" customWidth="1"/>
    <col min="12033" max="12033" width="16.42578125" style="476" customWidth="1"/>
    <col min="12034" max="12035" width="0" style="476" hidden="1" customWidth="1"/>
    <col min="12036" max="12036" width="16" style="476" bestFit="1" customWidth="1"/>
    <col min="12037" max="12037" width="27.7109375" style="476" customWidth="1"/>
    <col min="12038" max="12038" width="14.85546875" style="476" customWidth="1"/>
    <col min="12039" max="12286" width="9.140625" style="476"/>
    <col min="12287" max="12287" width="33.7109375" style="476" customWidth="1"/>
    <col min="12288" max="12288" width="0" style="476" hidden="1" customWidth="1"/>
    <col min="12289" max="12289" width="16.42578125" style="476" customWidth="1"/>
    <col min="12290" max="12291" width="0" style="476" hidden="1" customWidth="1"/>
    <col min="12292" max="12292" width="16" style="476" bestFit="1" customWidth="1"/>
    <col min="12293" max="12293" width="27.7109375" style="476" customWidth="1"/>
    <col min="12294" max="12294" width="14.85546875" style="476" customWidth="1"/>
    <col min="12295" max="12542" width="9.140625" style="476"/>
    <col min="12543" max="12543" width="33.7109375" style="476" customWidth="1"/>
    <col min="12544" max="12544" width="0" style="476" hidden="1" customWidth="1"/>
    <col min="12545" max="12545" width="16.42578125" style="476" customWidth="1"/>
    <col min="12546" max="12547" width="0" style="476" hidden="1" customWidth="1"/>
    <col min="12548" max="12548" width="16" style="476" bestFit="1" customWidth="1"/>
    <col min="12549" max="12549" width="27.7109375" style="476" customWidth="1"/>
    <col min="12550" max="12550" width="14.85546875" style="476" customWidth="1"/>
    <col min="12551" max="12798" width="9.140625" style="476"/>
    <col min="12799" max="12799" width="33.7109375" style="476" customWidth="1"/>
    <col min="12800" max="12800" width="0" style="476" hidden="1" customWidth="1"/>
    <col min="12801" max="12801" width="16.42578125" style="476" customWidth="1"/>
    <col min="12802" max="12803" width="0" style="476" hidden="1" customWidth="1"/>
    <col min="12804" max="12804" width="16" style="476" bestFit="1" customWidth="1"/>
    <col min="12805" max="12805" width="27.7109375" style="476" customWidth="1"/>
    <col min="12806" max="12806" width="14.85546875" style="476" customWidth="1"/>
    <col min="12807" max="13054" width="9.140625" style="476"/>
    <col min="13055" max="13055" width="33.7109375" style="476" customWidth="1"/>
    <col min="13056" max="13056" width="0" style="476" hidden="1" customWidth="1"/>
    <col min="13057" max="13057" width="16.42578125" style="476" customWidth="1"/>
    <col min="13058" max="13059" width="0" style="476" hidden="1" customWidth="1"/>
    <col min="13060" max="13060" width="16" style="476" bestFit="1" customWidth="1"/>
    <col min="13061" max="13061" width="27.7109375" style="476" customWidth="1"/>
    <col min="13062" max="13062" width="14.85546875" style="476" customWidth="1"/>
    <col min="13063" max="13310" width="9.140625" style="476"/>
    <col min="13311" max="13311" width="33.7109375" style="476" customWidth="1"/>
    <col min="13312" max="13312" width="0" style="476" hidden="1" customWidth="1"/>
    <col min="13313" max="13313" width="16.42578125" style="476" customWidth="1"/>
    <col min="13314" max="13315" width="0" style="476" hidden="1" customWidth="1"/>
    <col min="13316" max="13316" width="16" style="476" bestFit="1" customWidth="1"/>
    <col min="13317" max="13317" width="27.7109375" style="476" customWidth="1"/>
    <col min="13318" max="13318" width="14.85546875" style="476" customWidth="1"/>
    <col min="13319" max="13566" width="9.140625" style="476"/>
    <col min="13567" max="13567" width="33.7109375" style="476" customWidth="1"/>
    <col min="13568" max="13568" width="0" style="476" hidden="1" customWidth="1"/>
    <col min="13569" max="13569" width="16.42578125" style="476" customWidth="1"/>
    <col min="13570" max="13571" width="0" style="476" hidden="1" customWidth="1"/>
    <col min="13572" max="13572" width="16" style="476" bestFit="1" customWidth="1"/>
    <col min="13573" max="13573" width="27.7109375" style="476" customWidth="1"/>
    <col min="13574" max="13574" width="14.85546875" style="476" customWidth="1"/>
    <col min="13575" max="13822" width="9.140625" style="476"/>
    <col min="13823" max="13823" width="33.7109375" style="476" customWidth="1"/>
    <col min="13824" max="13824" width="0" style="476" hidden="1" customWidth="1"/>
    <col min="13825" max="13825" width="16.42578125" style="476" customWidth="1"/>
    <col min="13826" max="13827" width="0" style="476" hidden="1" customWidth="1"/>
    <col min="13828" max="13828" width="16" style="476" bestFit="1" customWidth="1"/>
    <col min="13829" max="13829" width="27.7109375" style="476" customWidth="1"/>
    <col min="13830" max="13830" width="14.85546875" style="476" customWidth="1"/>
    <col min="13831" max="14078" width="9.140625" style="476"/>
    <col min="14079" max="14079" width="33.7109375" style="476" customWidth="1"/>
    <col min="14080" max="14080" width="0" style="476" hidden="1" customWidth="1"/>
    <col min="14081" max="14081" width="16.42578125" style="476" customWidth="1"/>
    <col min="14082" max="14083" width="0" style="476" hidden="1" customWidth="1"/>
    <col min="14084" max="14084" width="16" style="476" bestFit="1" customWidth="1"/>
    <col min="14085" max="14085" width="27.7109375" style="476" customWidth="1"/>
    <col min="14086" max="14086" width="14.85546875" style="476" customWidth="1"/>
    <col min="14087" max="14334" width="9.140625" style="476"/>
    <col min="14335" max="14335" width="33.7109375" style="476" customWidth="1"/>
    <col min="14336" max="14336" width="0" style="476" hidden="1" customWidth="1"/>
    <col min="14337" max="14337" width="16.42578125" style="476" customWidth="1"/>
    <col min="14338" max="14339" width="0" style="476" hidden="1" customWidth="1"/>
    <col min="14340" max="14340" width="16" style="476" bestFit="1" customWidth="1"/>
    <col min="14341" max="14341" width="27.7109375" style="476" customWidth="1"/>
    <col min="14342" max="14342" width="14.85546875" style="476" customWidth="1"/>
    <col min="14343" max="14590" width="9.140625" style="476"/>
    <col min="14591" max="14591" width="33.7109375" style="476" customWidth="1"/>
    <col min="14592" max="14592" width="0" style="476" hidden="1" customWidth="1"/>
    <col min="14593" max="14593" width="16.42578125" style="476" customWidth="1"/>
    <col min="14594" max="14595" width="0" style="476" hidden="1" customWidth="1"/>
    <col min="14596" max="14596" width="16" style="476" bestFit="1" customWidth="1"/>
    <col min="14597" max="14597" width="27.7109375" style="476" customWidth="1"/>
    <col min="14598" max="14598" width="14.85546875" style="476" customWidth="1"/>
    <col min="14599" max="14846" width="9.140625" style="476"/>
    <col min="14847" max="14847" width="33.7109375" style="476" customWidth="1"/>
    <col min="14848" max="14848" width="0" style="476" hidden="1" customWidth="1"/>
    <col min="14849" max="14849" width="16.42578125" style="476" customWidth="1"/>
    <col min="14850" max="14851" width="0" style="476" hidden="1" customWidth="1"/>
    <col min="14852" max="14852" width="16" style="476" bestFit="1" customWidth="1"/>
    <col min="14853" max="14853" width="27.7109375" style="476" customWidth="1"/>
    <col min="14854" max="14854" width="14.85546875" style="476" customWidth="1"/>
    <col min="14855" max="15102" width="9.140625" style="476"/>
    <col min="15103" max="15103" width="33.7109375" style="476" customWidth="1"/>
    <col min="15104" max="15104" width="0" style="476" hidden="1" customWidth="1"/>
    <col min="15105" max="15105" width="16.42578125" style="476" customWidth="1"/>
    <col min="15106" max="15107" width="0" style="476" hidden="1" customWidth="1"/>
    <col min="15108" max="15108" width="16" style="476" bestFit="1" customWidth="1"/>
    <col min="15109" max="15109" width="27.7109375" style="476" customWidth="1"/>
    <col min="15110" max="15110" width="14.85546875" style="476" customWidth="1"/>
    <col min="15111" max="15358" width="9.140625" style="476"/>
    <col min="15359" max="15359" width="33.7109375" style="476" customWidth="1"/>
    <col min="15360" max="15360" width="0" style="476" hidden="1" customWidth="1"/>
    <col min="15361" max="15361" width="16.42578125" style="476" customWidth="1"/>
    <col min="15362" max="15363" width="0" style="476" hidden="1" customWidth="1"/>
    <col min="15364" max="15364" width="16" style="476" bestFit="1" customWidth="1"/>
    <col min="15365" max="15365" width="27.7109375" style="476" customWidth="1"/>
    <col min="15366" max="15366" width="14.85546875" style="476" customWidth="1"/>
    <col min="15367" max="15614" width="9.140625" style="476"/>
    <col min="15615" max="15615" width="33.7109375" style="476" customWidth="1"/>
    <col min="15616" max="15616" width="0" style="476" hidden="1" customWidth="1"/>
    <col min="15617" max="15617" width="16.42578125" style="476" customWidth="1"/>
    <col min="15618" max="15619" width="0" style="476" hidden="1" customWidth="1"/>
    <col min="15620" max="15620" width="16" style="476" bestFit="1" customWidth="1"/>
    <col min="15621" max="15621" width="27.7109375" style="476" customWidth="1"/>
    <col min="15622" max="15622" width="14.85546875" style="476" customWidth="1"/>
    <col min="15623" max="15870" width="9.140625" style="476"/>
    <col min="15871" max="15871" width="33.7109375" style="476" customWidth="1"/>
    <col min="15872" max="15872" width="0" style="476" hidden="1" customWidth="1"/>
    <col min="15873" max="15873" width="16.42578125" style="476" customWidth="1"/>
    <col min="15874" max="15875" width="0" style="476" hidden="1" customWidth="1"/>
    <col min="15876" max="15876" width="16" style="476" bestFit="1" customWidth="1"/>
    <col min="15877" max="15877" width="27.7109375" style="476" customWidth="1"/>
    <col min="15878" max="15878" width="14.85546875" style="476" customWidth="1"/>
    <col min="15879" max="16126" width="9.140625" style="476"/>
    <col min="16127" max="16127" width="33.7109375" style="476" customWidth="1"/>
    <col min="16128" max="16128" width="0" style="476" hidden="1" customWidth="1"/>
    <col min="16129" max="16129" width="16.42578125" style="476" customWidth="1"/>
    <col min="16130" max="16131" width="0" style="476" hidden="1" customWidth="1"/>
    <col min="16132" max="16132" width="16" style="476" bestFit="1" customWidth="1"/>
    <col min="16133" max="16133" width="27.7109375" style="476" customWidth="1"/>
    <col min="16134" max="16134" width="14.85546875" style="476" customWidth="1"/>
    <col min="16135" max="16384" width="9.140625" style="476"/>
  </cols>
  <sheetData>
    <row r="1" spans="1:4" s="467" customFormat="1" ht="15">
      <c r="A1" s="465"/>
      <c r="B1" s="466"/>
    </row>
    <row r="2" spans="1:4" s="467" customFormat="1" ht="34.5" customHeight="1">
      <c r="A2" s="468" t="s">
        <v>272</v>
      </c>
      <c r="B2" s="468"/>
      <c r="C2" s="469"/>
      <c r="D2" s="469"/>
    </row>
    <row r="3" spans="1:4" s="467" customFormat="1" ht="15">
      <c r="A3" s="470" t="s">
        <v>2016</v>
      </c>
      <c r="B3" s="470"/>
    </row>
    <row r="4" spans="1:4" s="467" customFormat="1">
      <c r="A4" s="471"/>
      <c r="B4" s="471"/>
      <c r="C4" s="472"/>
    </row>
    <row r="5" spans="1:4" s="467" customFormat="1">
      <c r="A5" s="473"/>
      <c r="B5" s="471"/>
    </row>
    <row r="6" spans="1:4" s="467" customFormat="1">
      <c r="A6" s="473" t="s">
        <v>273</v>
      </c>
      <c r="B6" s="474" t="s">
        <v>274</v>
      </c>
    </row>
    <row r="7" spans="1:4" s="467" customFormat="1">
      <c r="A7" s="471"/>
      <c r="B7" s="474"/>
    </row>
    <row r="8" spans="1:4">
      <c r="A8" s="471" t="s">
        <v>275</v>
      </c>
      <c r="B8" s="465">
        <v>1742394</v>
      </c>
      <c r="C8" s="475">
        <v>1111136974.0799999</v>
      </c>
      <c r="D8" s="1155"/>
    </row>
    <row r="9" spans="1:4">
      <c r="A9" s="477" t="s">
        <v>276</v>
      </c>
      <c r="B9" s="465">
        <v>68951392</v>
      </c>
      <c r="C9" s="475">
        <v>3730525943.3981013</v>
      </c>
      <c r="D9" s="1155"/>
    </row>
    <row r="10" spans="1:4">
      <c r="A10" s="477" t="s">
        <v>277</v>
      </c>
      <c r="B10" s="465">
        <v>40269065</v>
      </c>
      <c r="C10" s="475">
        <v>245633030.27359748</v>
      </c>
      <c r="D10" s="1155"/>
    </row>
    <row r="11" spans="1:4">
      <c r="A11" s="477" t="s">
        <v>278</v>
      </c>
      <c r="B11" s="478">
        <v>110962851</v>
      </c>
      <c r="C11" s="478">
        <f>SUM(C8:C10)</f>
        <v>5087295947.7516994</v>
      </c>
      <c r="D11" s="479"/>
    </row>
    <row r="12" spans="1:4">
      <c r="A12" s="477"/>
      <c r="B12" s="480"/>
      <c r="C12" s="480"/>
    </row>
    <row r="13" spans="1:4">
      <c r="A13" s="481" t="s">
        <v>279</v>
      </c>
      <c r="B13" s="480"/>
      <c r="C13" s="480"/>
    </row>
    <row r="14" spans="1:4">
      <c r="A14" s="477" t="s">
        <v>280</v>
      </c>
      <c r="B14" s="482">
        <v>1.5702498487534355E-2</v>
      </c>
      <c r="C14" s="483">
        <f>C8/C11</f>
        <v>0.2184140623018129</v>
      </c>
      <c r="D14" s="484"/>
    </row>
    <row r="15" spans="1:4">
      <c r="A15" s="477" t="s">
        <v>281</v>
      </c>
      <c r="B15" s="482">
        <v>0.62139167639086712</v>
      </c>
      <c r="C15" s="485">
        <f>C9/C11</f>
        <v>0.73330232440021215</v>
      </c>
      <c r="D15" s="484"/>
    </row>
    <row r="16" spans="1:4">
      <c r="A16" s="477" t="s">
        <v>282</v>
      </c>
      <c r="B16" s="486">
        <v>0.36290582512159858</v>
      </c>
      <c r="C16" s="487">
        <f>C10/C11</f>
        <v>4.8283613297974842E-2</v>
      </c>
      <c r="D16" s="484"/>
    </row>
    <row r="17" spans="1:6">
      <c r="A17" s="477"/>
      <c r="B17" s="482">
        <v>1</v>
      </c>
      <c r="C17" s="483">
        <f>SUM(C14:C16)</f>
        <v>0.99999999999999989</v>
      </c>
    </row>
    <row r="18" spans="1:6">
      <c r="A18" s="477"/>
      <c r="B18" s="477"/>
      <c r="C18" s="477"/>
    </row>
    <row r="19" spans="1:6" ht="15">
      <c r="A19" s="488" t="s">
        <v>283</v>
      </c>
      <c r="B19" s="475">
        <v>0</v>
      </c>
      <c r="C19" s="475">
        <v>55248321.329999998</v>
      </c>
    </row>
    <row r="20" spans="1:6" ht="12" customHeight="1">
      <c r="A20" s="489"/>
      <c r="B20" s="475"/>
      <c r="C20" s="475"/>
    </row>
    <row r="21" spans="1:6">
      <c r="A21" s="490"/>
      <c r="B21" s="491" t="s">
        <v>101</v>
      </c>
      <c r="C21" s="477"/>
    </row>
    <row r="22" spans="1:6">
      <c r="A22" s="477" t="s">
        <v>284</v>
      </c>
      <c r="B22" s="475">
        <v>0</v>
      </c>
      <c r="C22" s="492">
        <f>C19*C14</f>
        <v>12067010.297041198</v>
      </c>
      <c r="D22" s="493"/>
      <c r="F22" s="494"/>
    </row>
    <row r="23" spans="1:6">
      <c r="A23" s="477" t="s">
        <v>285</v>
      </c>
      <c r="B23" s="475">
        <v>0</v>
      </c>
      <c r="C23" s="475">
        <f>C19*C15</f>
        <v>40513722.450498819</v>
      </c>
      <c r="D23" s="493"/>
      <c r="E23" s="495"/>
    </row>
    <row r="24" spans="1:6">
      <c r="A24" s="477" t="s">
        <v>286</v>
      </c>
      <c r="B24" s="475">
        <v>0</v>
      </c>
      <c r="C24" s="475">
        <f>C19*C16</f>
        <v>2667588.582459975</v>
      </c>
      <c r="D24" s="493"/>
      <c r="E24" s="495"/>
    </row>
    <row r="25" spans="1:6">
      <c r="A25" s="477" t="s">
        <v>287</v>
      </c>
      <c r="B25" s="496">
        <v>0</v>
      </c>
      <c r="C25" s="496">
        <f>SUM(C22:C24)</f>
        <v>55248321.329999998</v>
      </c>
    </row>
    <row r="26" spans="1:6">
      <c r="A26" s="477"/>
      <c r="B26" s="475"/>
      <c r="C26" s="465"/>
    </row>
    <row r="27" spans="1:6">
      <c r="A27" s="477"/>
      <c r="B27" s="475"/>
      <c r="C27" s="465"/>
    </row>
    <row r="28" spans="1:6">
      <c r="A28" s="477" t="s">
        <v>286</v>
      </c>
      <c r="B28" s="475">
        <v>0</v>
      </c>
      <c r="C28" s="475">
        <f>C24</f>
        <v>2667588.582459975</v>
      </c>
    </row>
    <row r="29" spans="1:6">
      <c r="A29" s="477" t="s">
        <v>288</v>
      </c>
      <c r="B29" s="497">
        <v>9.9600000000000022E-2</v>
      </c>
      <c r="C29" s="498">
        <f>'ATT H-9A'!$H$16</f>
        <v>0.10939366197352368</v>
      </c>
    </row>
    <row r="30" spans="1:6">
      <c r="A30" s="477" t="s">
        <v>289</v>
      </c>
      <c r="B30" s="465">
        <v>0</v>
      </c>
      <c r="C30" s="465">
        <f>C28*C29</f>
        <v>291817.28367405769</v>
      </c>
    </row>
    <row r="31" spans="1:6">
      <c r="A31" s="477"/>
      <c r="B31" s="499" t="s">
        <v>101</v>
      </c>
      <c r="C31" s="465"/>
    </row>
    <row r="32" spans="1:6" ht="13.5" thickBot="1">
      <c r="A32" s="477"/>
      <c r="B32" s="465"/>
      <c r="C32" s="465"/>
    </row>
    <row r="33" spans="1:7">
      <c r="A33" s="500" t="s">
        <v>290</v>
      </c>
      <c r="B33" s="501"/>
      <c r="C33" s="502"/>
    </row>
    <row r="34" spans="1:7">
      <c r="A34" s="503" t="s">
        <v>275</v>
      </c>
      <c r="B34" s="480">
        <v>0</v>
      </c>
      <c r="C34" s="504">
        <f>C22</f>
        <v>12067010.297041198</v>
      </c>
      <c r="G34" s="505"/>
    </row>
    <row r="35" spans="1:7">
      <c r="A35" s="503" t="s">
        <v>291</v>
      </c>
      <c r="B35" s="506">
        <v>0</v>
      </c>
      <c r="C35" s="507">
        <f>C30</f>
        <v>291817.28367405769</v>
      </c>
    </row>
    <row r="36" spans="1:7">
      <c r="A36" s="503" t="s">
        <v>290</v>
      </c>
      <c r="B36" s="480">
        <v>0</v>
      </c>
      <c r="C36" s="504">
        <f>SUM(C34:C35)</f>
        <v>12358827.580715256</v>
      </c>
      <c r="E36" s="1831"/>
    </row>
    <row r="37" spans="1:7">
      <c r="A37" s="503"/>
      <c r="B37" s="508"/>
      <c r="C37" s="509"/>
    </row>
    <row r="38" spans="1:7">
      <c r="A38" s="503"/>
      <c r="B38" s="508"/>
      <c r="C38" s="509"/>
    </row>
    <row r="39" spans="1:7" ht="13.5" thickBot="1">
      <c r="A39" s="510"/>
      <c r="B39" s="511"/>
      <c r="C39" s="512"/>
    </row>
    <row r="40" spans="1:7">
      <c r="A40" s="477"/>
      <c r="B40" s="477"/>
      <c r="C40" s="477"/>
    </row>
    <row r="41" spans="1:7" ht="15">
      <c r="A41" s="1153"/>
      <c r="B41" s="477"/>
      <c r="C41" s="477"/>
    </row>
    <row r="42" spans="1:7">
      <c r="A42" s="513"/>
      <c r="B42" s="477"/>
      <c r="C42" s="477"/>
    </row>
    <row r="43" spans="1:7">
      <c r="A43" s="513"/>
      <c r="B43" s="477"/>
      <c r="C43" s="477"/>
    </row>
    <row r="44" spans="1:7">
      <c r="A44" s="477"/>
      <c r="B44" s="477"/>
      <c r="C44" s="477"/>
    </row>
    <row r="45" spans="1:7">
      <c r="A45" s="477"/>
      <c r="B45" s="477"/>
      <c r="C45" s="477"/>
    </row>
    <row r="46" spans="1:7">
      <c r="A46" s="477"/>
      <c r="B46" s="477"/>
      <c r="C46" s="477"/>
    </row>
    <row r="47" spans="1:7">
      <c r="A47" s="477"/>
      <c r="B47" s="477"/>
      <c r="C47" s="477"/>
    </row>
    <row r="48" spans="1:7">
      <c r="A48" s="477"/>
      <c r="B48" s="477"/>
      <c r="C48" s="477"/>
    </row>
    <row r="49" spans="1:3">
      <c r="A49" s="477"/>
      <c r="B49" s="477"/>
      <c r="C49" s="477"/>
    </row>
    <row r="50" spans="1:3">
      <c r="A50" s="477"/>
      <c r="B50" s="477"/>
      <c r="C50" s="477"/>
    </row>
    <row r="51" spans="1:3">
      <c r="A51" s="477"/>
      <c r="B51" s="477"/>
      <c r="C51" s="477"/>
    </row>
    <row r="52" spans="1:3">
      <c r="A52" s="477"/>
      <c r="B52" s="477"/>
      <c r="C52" s="477"/>
    </row>
    <row r="53" spans="1:3">
      <c r="A53" s="477"/>
      <c r="B53" s="477"/>
      <c r="C53" s="477"/>
    </row>
    <row r="54" spans="1:3">
      <c r="A54" s="477"/>
      <c r="B54" s="477"/>
      <c r="C54" s="477"/>
    </row>
    <row r="55" spans="1:3">
      <c r="A55" s="477"/>
      <c r="B55" s="477"/>
      <c r="C55" s="477"/>
    </row>
    <row r="56" spans="1:3">
      <c r="A56" s="477"/>
      <c r="B56" s="477"/>
      <c r="C56" s="477"/>
    </row>
    <row r="57" spans="1:3">
      <c r="A57" s="477"/>
      <c r="B57" s="477"/>
      <c r="C57" s="477"/>
    </row>
    <row r="58" spans="1:3">
      <c r="A58" s="477"/>
      <c r="B58" s="477"/>
      <c r="C58" s="477"/>
    </row>
    <row r="59" spans="1:3">
      <c r="A59" s="477"/>
      <c r="B59" s="477"/>
      <c r="C59" s="477"/>
    </row>
    <row r="60" spans="1:3">
      <c r="A60" s="477"/>
      <c r="B60" s="477"/>
      <c r="C60" s="477"/>
    </row>
    <row r="61" spans="1:3">
      <c r="A61" s="477"/>
      <c r="B61" s="477"/>
      <c r="C61" s="477"/>
    </row>
    <row r="62" spans="1:3">
      <c r="A62" s="477"/>
      <c r="B62" s="477"/>
      <c r="C62" s="477"/>
    </row>
    <row r="63" spans="1:3">
      <c r="A63" s="477"/>
      <c r="B63" s="477"/>
      <c r="C63" s="477"/>
    </row>
    <row r="64" spans="1:3">
      <c r="A64" s="477"/>
      <c r="B64" s="477"/>
      <c r="C64" s="477"/>
    </row>
    <row r="65" spans="1:3">
      <c r="A65" s="477"/>
      <c r="B65" s="477"/>
      <c r="C65" s="477"/>
    </row>
    <row r="66" spans="1:3">
      <c r="A66" s="477"/>
      <c r="B66" s="477"/>
      <c r="C66" s="477"/>
    </row>
    <row r="67" spans="1:3">
      <c r="A67" s="477"/>
      <c r="B67" s="477"/>
      <c r="C67" s="477"/>
    </row>
    <row r="68" spans="1:3">
      <c r="A68" s="477"/>
      <c r="B68" s="477"/>
      <c r="C68" s="477"/>
    </row>
    <row r="69" spans="1:3">
      <c r="A69" s="477"/>
      <c r="B69" s="477"/>
      <c r="C69" s="477"/>
    </row>
    <row r="70" spans="1:3">
      <c r="A70" s="477"/>
      <c r="B70" s="477"/>
      <c r="C70" s="477"/>
    </row>
    <row r="71" spans="1:3">
      <c r="A71" s="477"/>
      <c r="B71" s="477"/>
      <c r="C71" s="477"/>
    </row>
    <row r="72" spans="1:3">
      <c r="A72" s="477"/>
      <c r="B72" s="477"/>
      <c r="C72" s="477"/>
    </row>
    <row r="73" spans="1:3">
      <c r="A73" s="477"/>
      <c r="B73" s="477"/>
      <c r="C73" s="477"/>
    </row>
    <row r="74" spans="1:3">
      <c r="A74" s="477"/>
      <c r="B74" s="477"/>
      <c r="C74" s="477"/>
    </row>
    <row r="75" spans="1:3">
      <c r="A75" s="477"/>
      <c r="B75" s="477"/>
      <c r="C75" s="477"/>
    </row>
    <row r="76" spans="1:3">
      <c r="A76" s="477"/>
      <c r="B76" s="477"/>
      <c r="C76" s="477"/>
    </row>
    <row r="77" spans="1:3">
      <c r="A77" s="477"/>
      <c r="B77" s="477"/>
      <c r="C77" s="477"/>
    </row>
    <row r="78" spans="1:3">
      <c r="A78" s="477"/>
      <c r="B78" s="477"/>
      <c r="C78" s="477"/>
    </row>
    <row r="79" spans="1:3">
      <c r="A79" s="477"/>
      <c r="B79" s="477"/>
      <c r="C79" s="477"/>
    </row>
    <row r="80" spans="1:3">
      <c r="A80" s="477"/>
      <c r="B80" s="477"/>
      <c r="C80" s="477"/>
    </row>
    <row r="81" spans="1:3">
      <c r="A81" s="477"/>
      <c r="B81" s="477"/>
      <c r="C81" s="477"/>
    </row>
    <row r="82" spans="1:3">
      <c r="A82" s="477"/>
      <c r="B82" s="477"/>
      <c r="C82" s="477"/>
    </row>
    <row r="83" spans="1:3">
      <c r="A83" s="477"/>
      <c r="B83" s="477"/>
      <c r="C83" s="477"/>
    </row>
    <row r="84" spans="1:3">
      <c r="A84" s="477"/>
      <c r="B84" s="477"/>
      <c r="C84" s="477"/>
    </row>
    <row r="85" spans="1:3">
      <c r="A85" s="477"/>
      <c r="B85" s="477"/>
      <c r="C85" s="477"/>
    </row>
    <row r="86" spans="1:3">
      <c r="A86" s="477"/>
      <c r="B86" s="477"/>
      <c r="C86" s="477"/>
    </row>
    <row r="87" spans="1:3">
      <c r="A87" s="477"/>
      <c r="B87" s="477"/>
      <c r="C87" s="477"/>
    </row>
    <row r="88" spans="1:3">
      <c r="A88" s="477"/>
      <c r="B88" s="477"/>
      <c r="C88" s="477"/>
    </row>
    <row r="89" spans="1:3">
      <c r="A89" s="477"/>
      <c r="B89" s="477"/>
      <c r="C89" s="477"/>
    </row>
    <row r="90" spans="1:3">
      <c r="A90" s="477"/>
      <c r="B90" s="477"/>
      <c r="C90" s="477"/>
    </row>
    <row r="91" spans="1:3">
      <c r="A91" s="477"/>
      <c r="B91" s="477"/>
      <c r="C91" s="477"/>
    </row>
    <row r="92" spans="1:3">
      <c r="A92" s="477"/>
      <c r="B92" s="477"/>
      <c r="C92" s="477"/>
    </row>
    <row r="93" spans="1:3">
      <c r="A93" s="477"/>
      <c r="B93" s="477"/>
      <c r="C93" s="477"/>
    </row>
    <row r="94" spans="1:3">
      <c r="A94" s="477"/>
      <c r="B94" s="477"/>
      <c r="C94" s="477"/>
    </row>
    <row r="95" spans="1:3">
      <c r="A95" s="477"/>
      <c r="B95" s="477"/>
      <c r="C95" s="477"/>
    </row>
    <row r="96" spans="1:3">
      <c r="A96" s="477"/>
      <c r="B96" s="477"/>
      <c r="C96" s="477"/>
    </row>
    <row r="97" spans="1:3">
      <c r="A97" s="477"/>
      <c r="B97" s="477"/>
      <c r="C97" s="477"/>
    </row>
    <row r="98" spans="1:3">
      <c r="A98" s="477"/>
      <c r="B98" s="477"/>
      <c r="C98" s="477"/>
    </row>
    <row r="99" spans="1:3">
      <c r="A99" s="477"/>
      <c r="B99" s="477"/>
      <c r="C99" s="477"/>
    </row>
    <row r="100" spans="1:3">
      <c r="A100" s="477"/>
      <c r="B100" s="477"/>
      <c r="C100" s="477"/>
    </row>
    <row r="101" spans="1:3">
      <c r="A101" s="477"/>
      <c r="B101" s="477"/>
      <c r="C101" s="477"/>
    </row>
    <row r="102" spans="1:3">
      <c r="A102" s="477"/>
      <c r="B102" s="477"/>
      <c r="C102" s="477"/>
    </row>
    <row r="103" spans="1:3">
      <c r="A103" s="477"/>
      <c r="B103" s="477"/>
      <c r="C103" s="477"/>
    </row>
    <row r="104" spans="1:3">
      <c r="A104" s="477"/>
      <c r="B104" s="477"/>
      <c r="C104" s="477"/>
    </row>
    <row r="105" spans="1:3">
      <c r="A105" s="477"/>
      <c r="B105" s="477"/>
      <c r="C105" s="477"/>
    </row>
    <row r="106" spans="1:3">
      <c r="A106" s="477"/>
      <c r="B106" s="477"/>
      <c r="C106" s="477"/>
    </row>
    <row r="107" spans="1:3">
      <c r="A107" s="477"/>
      <c r="B107" s="477"/>
      <c r="C107" s="477"/>
    </row>
    <row r="108" spans="1:3">
      <c r="A108" s="477"/>
      <c r="B108" s="477"/>
      <c r="C108" s="477"/>
    </row>
    <row r="109" spans="1:3">
      <c r="A109" s="477"/>
      <c r="B109" s="477"/>
      <c r="C109" s="477"/>
    </row>
    <row r="110" spans="1:3">
      <c r="A110" s="477"/>
      <c r="B110" s="477"/>
      <c r="C110" s="477"/>
    </row>
    <row r="111" spans="1:3">
      <c r="A111" s="477"/>
      <c r="B111" s="477"/>
      <c r="C111" s="477"/>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7</vt:i4>
      </vt:variant>
    </vt:vector>
  </HeadingPairs>
  <TitlesOfParts>
    <vt:vector size="32"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'12- Depreciation Rates'!Print_Area</vt:lpstr>
      <vt:lpstr>'1A - ADIT Summary'!Print_Area</vt:lpstr>
      <vt:lpstr>'3 - Revenue Credits'!Print_Area</vt:lpstr>
      <vt:lpstr>'6-Project Rev Req'!Print_Area</vt:lpstr>
      <vt:lpstr>'7 - Cap Add WS'!Print_Area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Chen, Shengrong:(PHI)</cp:lastModifiedBy>
  <cp:lastPrinted>2020-05-14T20:54:40Z</cp:lastPrinted>
  <dcterms:created xsi:type="dcterms:W3CDTF">2018-05-08T13:51:25Z</dcterms:created>
  <dcterms:modified xsi:type="dcterms:W3CDTF">2021-05-13T13:07:20Z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091167</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165847</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http://webcenterprd.exelonds.com/cs/idcplg?IdcService=DESKTOP_DOC_INFO&amp;dDocName=091167&amp;dID=165847&amp;ClientControlled=DocMan,taskpane&amp;coreContentOnly=1</vt:lpwstr>
  </property>
  <property fmtid="{D5CDD505-2E9C-101B-9397-08002B2CF9AE}" pid="10" name="SV_HIDDEN_GRID_QUERY_LIST_4F35BF76-6C0D-4D9B-82B2-816C12CF3733">
    <vt:lpwstr>empty_477D106A-C0D6-4607-AEBD-E2C9D60EA279</vt:lpwstr>
  </property>
</Properties>
</file>