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defaultThemeVersion="124226"/>
  <mc:AlternateContent xmlns:mc="http://schemas.openxmlformats.org/markup-compatibility/2006">
    <mc:Choice Requires="x15">
      <x15ac:absPath xmlns:x15ac="http://schemas.microsoft.com/office/spreadsheetml/2010/11/ac" url="https://exeloncorp-my.sharepoint.com/personal/alvamm_exelonds_com/Documents/PECO Formula Updates/2022/"/>
    </mc:Choice>
  </mc:AlternateContent>
  <xr:revisionPtr revIDLastSave="0" documentId="8_{2F2F9682-555C-4377-9BCA-6AED034C8A91}" xr6:coauthVersionLast="47" xr6:coauthVersionMax="47" xr10:uidLastSave="{00000000-0000-0000-0000-000000000000}"/>
  <bookViews>
    <workbookView xWindow="-110" yWindow="-110" windowWidth="19420" windowHeight="10420" tabRatio="855"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5C - Other Taxes" sheetId="57" r:id="rId15"/>
    <sheet name="6-True-Up Interest" sheetId="7" r:id="rId16"/>
    <sheet name="7 - PBOP" sheetId="17" r:id="rId17"/>
    <sheet name="8 - Depreciation Rates" sheetId="52" r:id="rId18"/>
    <sheet name="9 - EDIT" sheetId="54" r:id="rId19"/>
    <sheet name="9A - ADIT Remeasurement" sheetId="58" r:id="rId20"/>
    <sheet name="10 - Pension Asset Discount" sheetId="55" r:id="rId21"/>
    <sheet name="11 - Cost of Capital" sheetId="56" r:id="rId22"/>
  </sheets>
  <externalReferences>
    <externalReference r:id="rId23"/>
    <externalReference r:id="rId24"/>
    <externalReference r:id="rId25"/>
    <externalReference r:id="rId26"/>
    <externalReference r:id="rId27"/>
    <externalReference r:id="rId28"/>
    <externalReference r:id="rId29"/>
  </externalReferences>
  <definedNames>
    <definedName name="_1K" hidden="1">[1]Masterdata!#REF!</definedName>
    <definedName name="_2K" hidden="1">[1]Masterdata!#REF!</definedName>
    <definedName name="_2S" hidden="1">[1]Masterdata!#REF!</definedName>
    <definedName name="_4S" hidden="1">[1]Masterdata!#REF!</definedName>
    <definedName name="_FEB01" localSheetId="6" hidden="1">{#N/A,#N/A,FALSE,"EMPPAY"}</definedName>
    <definedName name="_FEB01" localSheetId="7" hidden="1">{#N/A,#N/A,FALSE,"EMPPAY"}</definedName>
    <definedName name="_FEB01" localSheetId="8" hidden="1">{#N/A,#N/A,FALSE,"EMPPAY"}</definedName>
    <definedName name="_FEB01" localSheetId="19" hidden="1">{#N/A,#N/A,FALSE,"EMPPAY"}</definedName>
    <definedName name="_FEB01" hidden="1">{#N/A,#N/A,FALSE,"EMPPAY"}</definedName>
    <definedName name="_Fill" localSheetId="9" hidden="1">#REF!</definedName>
    <definedName name="_Fill" localSheetId="1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localSheetId="19"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localSheetId="19" hidden="1">{#N/A,#N/A,FALSE,"EMPPAY"}</definedName>
    <definedName name="_JAN2001" hidden="1">{#N/A,#N/A,FALSE,"EMPPAY"}</definedName>
    <definedName name="_Order1" hidden="1">255</definedName>
    <definedName name="_Order2" hidden="1">0</definedName>
    <definedName name="_ryr56565" localSheetId="19" hidden="1">{#N/A,#N/A,FALSE,"Monthly SAIFI";#N/A,#N/A,FALSE,"Yearly SAIFI";#N/A,#N/A,FALSE,"Monthly CAIDI";#N/A,#N/A,FALSE,"Yearly CAIDI";#N/A,#N/A,FALSE,"Monthly SAIDI";#N/A,#N/A,FALSE,"Yearly SAIDI";#N/A,#N/A,FALSE,"Monthly MAIFI";#N/A,#N/A,FALSE,"Yearly MAIFI";#N/A,#N/A,FALSE,"Monthly Cust &gt;=4 Int"}</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localSheetId="19" hidden="1">{#N/A,#N/A,FALSE,"EMPPAY"}</definedName>
    <definedName name="A" hidden="1">{#N/A,#N/A,FALSE,"EMPPAY"}</definedName>
    <definedName name="aaa" localSheetId="19"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9"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localSheetId="19"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localSheetId="19" hidden="1">{#N/A,#N/A,FALSE,"Monthly SAIFI";#N/A,#N/A,FALSE,"Yearly SAIFI";#N/A,#N/A,FALSE,"Monthly CAIDI";#N/A,#N/A,FALSE,"Yearly CAIDI";#N/A,#N/A,FALSE,"Monthly SAIDI";#N/A,#N/A,FALSE,"Yearly SAIDI";#N/A,#N/A,FALSE,"Monthly MAIFI";#N/A,#N/A,FALSE,"Yearly MAIFI";#N/A,#N/A,FALSE,"Monthly Cust &gt;=4 Int"}</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localSheetId="19" hidden="1">{#N/A,#N/A,FALSE,"Monthly SAIFI";#N/A,#N/A,FALSE,"Yearly SAIFI";#N/A,#N/A,FALSE,"Monthly CAIDI";#N/A,#N/A,FALSE,"Yearly CAIDI";#N/A,#N/A,FALSE,"Monthly SAIDI";#N/A,#N/A,FALSE,"Yearly SAIDI";#N/A,#N/A,FALSE,"Monthly MAIFI";#N/A,#N/A,FALSE,"Yearly MAIFI";#N/A,#N/A,FALSE,"Monthly Cust &gt;=4 Int"}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localSheetId="19"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localSheetId="19"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localSheetId="19"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localSheetId="19"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9"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9"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9" hidden="1">{#N/A,#N/A,FALSE,"O&amp;M by processes";#N/A,#N/A,FALSE,"Elec Act vs Bud";#N/A,#N/A,FALSE,"G&amp;A";#N/A,#N/A,FALSE,"BGS";#N/A,#N/A,FALSE,"Res Cost"}</definedName>
    <definedName name="bbc" hidden="1">{#N/A,#N/A,FALSE,"O&amp;M by processes";#N/A,#N/A,FALSE,"Elec Act vs Bud";#N/A,#N/A,FALSE,"G&amp;A";#N/A,#N/A,FALSE,"BGS";#N/A,#N/A,FALSE,"Res Cost"}</definedName>
    <definedName name="beny" localSheetId="19" hidden="1">{#N/A,#N/A,FALSE,"Monthly SAIFI";#N/A,#N/A,FALSE,"Yearly SAIFI";#N/A,#N/A,FALSE,"Monthly CAIDI";#N/A,#N/A,FALSE,"Yearly CAIDI";#N/A,#N/A,FALSE,"Monthly SAIDI";#N/A,#N/A,FALSE,"Yearly SAIDI";#N/A,#N/A,FALSE,"Monthly MAIFI";#N/A,#N/A,FALSE,"Yearly MAIFI";#N/A,#N/A,FALSE,"Monthly Cust &gt;=4 Int"}</definedName>
    <definedName name="beny" hidden="1">{#N/A,#N/A,FALSE,"Monthly SAIFI";#N/A,#N/A,FALSE,"Yearly SAIFI";#N/A,#N/A,FALSE,"Monthly CAIDI";#N/A,#N/A,FALSE,"Yearly CAIDI";#N/A,#N/A,FALSE,"Monthly SAIDI";#N/A,#N/A,FALSE,"Yearly SAIDI";#N/A,#N/A,FALSE,"Monthly MAIFI";#N/A,#N/A,FALSE,"Yearly MAIFI";#N/A,#N/A,FALSE,"Monthly Cust &gt;=4 Int"}</definedName>
    <definedName name="can" localSheetId="19" hidden="1">{#N/A,#N/A,FALSE,"O&amp;M by processes";#N/A,#N/A,FALSE,"Elec Act vs Bud";#N/A,#N/A,FALSE,"G&amp;A";#N/A,#N/A,FALSE,"BGS";#N/A,#N/A,FALSE,"Res Cost"}</definedName>
    <definedName name="can" hidden="1">{#N/A,#N/A,FALSE,"O&amp;M by processes";#N/A,#N/A,FALSE,"Elec Act vs Bud";#N/A,#N/A,FALSE,"G&amp;A";#N/A,#N/A,FALSE,"BGS";#N/A,#N/A,FALSE,"Res Cost"}</definedName>
    <definedName name="cbcvbcv" localSheetId="19" hidden="1">{#N/A,#N/A,FALSE,"Monthly SAIFI";#N/A,#N/A,FALSE,"Yearly SAIFI";#N/A,#N/A,FALSE,"Monthly CAIDI";#N/A,#N/A,FALSE,"Yearly CAIDI";#N/A,#N/A,FALSE,"Monthly SAIDI";#N/A,#N/A,FALSE,"Yearly SAIDI";#N/A,#N/A,FALSE,"Monthly MAIFI";#N/A,#N/A,FALSE,"Yearly MAIFI";#N/A,#N/A,FALSE,"Monthly Cust &gt;=4 Int"}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localSheetId="19"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localSheetId="19"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9"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'[2]Title Page'!$A$22</definedName>
    <definedName name="Consolid" localSheetId="19"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9" hidden="1">{#N/A,#N/A,FALSE,"O&amp;M by processes";#N/A,#N/A,FALSE,"Elec Act vs Bud";#N/A,#N/A,FALSE,"G&amp;A";#N/A,#N/A,FALSE,"BGS";#N/A,#N/A,FALSE,"Res Cost"}</definedName>
    <definedName name="Consolidated" hidden="1">{#N/A,#N/A,FALSE,"O&amp;M by processes";#N/A,#N/A,FALSE,"Elec Act vs Bud";#N/A,#N/A,FALSE,"G&amp;A";#N/A,#N/A,FALSE,"BGS";#N/A,#N/A,FALSE,"Res Cost"}</definedName>
    <definedName name="da" localSheetId="19"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9" hidden="1">{#N/A,#N/A,FALSE,"O&amp;M by processes";#N/A,#N/A,FALSE,"Elec Act vs Bud";#N/A,#N/A,FALSE,"G&amp;A";#N/A,#N/A,FALSE,"BGS";#N/A,#N/A,FALSE,"Res Cost"}</definedName>
    <definedName name="dada" hidden="1">{#N/A,#N/A,FALSE,"O&amp;M by processes";#N/A,#N/A,FALSE,"Elec Act vs Bud";#N/A,#N/A,FALSE,"G&amp;A";#N/A,#N/A,FALSE,"BGS";#N/A,#N/A,FALSE,"Res Cost"}</definedName>
    <definedName name="DASDD" localSheetId="19" hidden="1">{#N/A,#N/A,FALSE,"Monthly SAIFI";#N/A,#N/A,FALSE,"Yearly SAIFI";#N/A,#N/A,FALSE,"Monthly CAIDI";#N/A,#N/A,FALSE,"Yearly CAIDI";#N/A,#N/A,FALSE,"Monthly SAIDI";#N/A,#N/A,FALSE,"Yearly SAIDI";#N/A,#N/A,FALSE,"Monthly MAIFI";#N/A,#N/A,FALSE,"Yearly MAIFI";#N/A,#N/A,FALSE,"Monthly Cust &gt;=4 Int"}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[3]!DATAFEEDER</definedName>
    <definedName name="Date" hidden="1">"b1"</definedName>
    <definedName name="dd" localSheetId="19" hidden="1">{#N/A,#N/A,FALSE,"Monthly SAIFI";#N/A,#N/A,FALSE,"Yearly SAIFI";#N/A,#N/A,FALSE,"Monthly CAIDI";#N/A,#N/A,FALSE,"Yearly CAIDI";#N/A,#N/A,FALSE,"Monthly SAIDI";#N/A,#N/A,FALSE,"Yearly SAIDI";#N/A,#N/A,FALSE,"Monthly MAIFI";#N/A,#N/A,FALSE,"Yearly MAIFI";#N/A,#N/A,FALSE,"Monthly Cust &gt;=4 Int"}</definedName>
    <definedName name="dd" hidden="1">{#N/A,#N/A,FALSE,"Monthly SAIFI";#N/A,#N/A,FALSE,"Yearly SAIFI";#N/A,#N/A,FALSE,"Monthly CAIDI";#N/A,#N/A,FALSE,"Yearly CAIDI";#N/A,#N/A,FALSE,"Monthly SAIDI";#N/A,#N/A,FALSE,"Yearly SAIDI";#N/A,#N/A,FALSE,"Monthly MAIFI";#N/A,#N/A,FALSE,"Yearly MAIFI";#N/A,#N/A,FALSE,"Monthly Cust &gt;=4 Int"}</definedName>
    <definedName name="ddfsaf" localSheetId="19"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localSheetId="19" hidden="1">{#N/A,#N/A,FALSE,"ARREC"}</definedName>
    <definedName name="DEC00" hidden="1">{#N/A,#N/A,FALSE,"ARREC"}</definedName>
    <definedName name="delete" localSheetId="19" hidden="1">{#N/A,#N/A,FALSE,"CURRENT"}</definedName>
    <definedName name="delete" hidden="1">{#N/A,#N/A,FALSE,"CURRENT"}</definedName>
    <definedName name="dfasdfsdfZX" localSheetId="19" hidden="1">{#N/A,#N/A,FALSE,"Monthly SAIFI";#N/A,#N/A,FALSE,"Yearly SAIFI";#N/A,#N/A,FALSE,"Monthly CAIDI";#N/A,#N/A,FALSE,"Yearly CAIDI";#N/A,#N/A,FALSE,"Monthly SAIDI";#N/A,#N/A,FALSE,"Yearly SAIDI";#N/A,#N/A,FALSE,"Monthly MAIFI";#N/A,#N/A,FALSE,"Yearly MAIFI";#N/A,#N/A,FALSE,"Monthly Cust &gt;=4 Int"}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localSheetId="19" hidden="1">{#N/A,#N/A,FALSE,"Monthly SAIFI";#N/A,#N/A,FALSE,"Yearly SAIFI";#N/A,#N/A,FALSE,"Monthly CAIDI";#N/A,#N/A,FALSE,"Yearly CAIDI";#N/A,#N/A,FALSE,"Monthly SAIDI";#N/A,#N/A,FALSE,"Yearly SAIDI";#N/A,#N/A,FALSE,"Monthly MAIFI";#N/A,#N/A,FALSE,"Yearly MAIFI";#N/A,#N/A,FALSE,"Monthly Cust &gt;=4 Int"}</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localSheetId="19"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localSheetId="19" hidden="1">{#N/A,#N/A,FALSE,"Monthly SAIFI";#N/A,#N/A,FALSE,"Yearly SAIFI";#N/A,#N/A,FALSE,"Monthly CAIDI";#N/A,#N/A,FALSE,"Yearly CAIDI";#N/A,#N/A,FALSE,"Monthly SAIDI";#N/A,#N/A,FALSE,"Yearly SAIDI";#N/A,#N/A,FALSE,"Monthly MAIFI";#N/A,#N/A,FALSE,"Yearly MAIFI";#N/A,#N/A,FALSE,"Monthly Cust &gt;=4 Int"}</definedName>
    <definedName name="dskdlss" hidden="1">{#N/A,#N/A,FALSE,"Monthly SAIFI";#N/A,#N/A,FALSE,"Yearly SAIFI";#N/A,#N/A,FALSE,"Monthly CAIDI";#N/A,#N/A,FALSE,"Yearly CAIDI";#N/A,#N/A,FALSE,"Monthly SAIDI";#N/A,#N/A,FALSE,"Yearly SAIDI";#N/A,#N/A,FALSE,"Monthly MAIFI";#N/A,#N/A,FALSE,"Yearly MAIFI";#N/A,#N/A,FALSE,"Monthly Cust &gt;=4 Int"}</definedName>
    <definedName name="edred" localSheetId="19"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localSheetId="19" hidden="1">{#N/A,#N/A,FALSE,"O&amp;M by processes";#N/A,#N/A,FALSE,"Elec Act vs Bud";#N/A,#N/A,FALSE,"G&amp;A";#N/A,#N/A,FALSE,"BGS";#N/A,#N/A,FALSE,"Res Cost"}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localSheetId="19" hidden="1">{#N/A,#N/A,FALSE,"Monthly SAIFI";#N/A,#N/A,FALSE,"Yearly SAIFI";#N/A,#N/A,FALSE,"Monthly CAIDI";#N/A,#N/A,FALSE,"Yearly CAIDI";#N/A,#N/A,FALSE,"Monthly SAIDI";#N/A,#N/A,FALSE,"Yearly SAIDI";#N/A,#N/A,FALSE,"Monthly MAIFI";#N/A,#N/A,FALSE,"Yearly MAIFI";#N/A,#N/A,FALSE,"Monthly Cust &gt;=4 Int"}</definedName>
    <definedName name="f" hidden="1">{#N/A,#N/A,FALSE,"Monthly SAIFI";#N/A,#N/A,FALSE,"Yearly SAIFI";#N/A,#N/A,FALSE,"Monthly CAIDI";#N/A,#N/A,FALSE,"Yearly CAIDI";#N/A,#N/A,FALSE,"Monthly SAIDI";#N/A,#N/A,FALSE,"Yearly SAIDI";#N/A,#N/A,FALSE,"Monthly MAIFI";#N/A,#N/A,FALSE,"Yearly MAIFI";#N/A,#N/A,FALSE,"Monthly Cust &gt;=4 Int"}</definedName>
    <definedName name="FDSDFSF" localSheetId="19"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localSheetId="19" hidden="1">{#N/A,#N/A,FALSE,"ARREC"}</definedName>
    <definedName name="FEB00" hidden="1">{#N/A,#N/A,FALSE,"ARREC"}</definedName>
    <definedName name="ff" localSheetId="19" hidden="1">{#N/A,#N/A,FALSE,"Monthly SAIFI";#N/A,#N/A,FALSE,"Yearly SAIFI";#N/A,#N/A,FALSE,"Monthly CAIDI";#N/A,#N/A,FALSE,"Yearly CAIDI";#N/A,#N/A,FALSE,"Monthly SAIDI";#N/A,#N/A,FALSE,"Yearly SAIDI";#N/A,#N/A,FALSE,"Monthly MAIFI";#N/A,#N/A,FALSE,"Yearly MAIFI";#N/A,#N/A,FALSE,"Monthly Cust &gt;=4 Int"}</definedName>
    <definedName name="ff" hidden="1">{#N/A,#N/A,FALSE,"Monthly SAIFI";#N/A,#N/A,FALSE,"Yearly SAIFI";#N/A,#N/A,FALSE,"Monthly CAIDI";#N/A,#N/A,FALSE,"Yearly CAIDI";#N/A,#N/A,FALSE,"Monthly SAIDI";#N/A,#N/A,FALSE,"Yearly SAIDI";#N/A,#N/A,FALSE,"Monthly MAIFI";#N/A,#N/A,FALSE,"Yearly MAIFI";#N/A,#N/A,FALSE,"Monthly Cust &gt;=4 Int"}</definedName>
    <definedName name="fff" localSheetId="19"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localSheetId="19"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localSheetId="19"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localSheetId="19"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localSheetId="19"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localSheetId="19"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localSheetId="19"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localSheetId="19"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localSheetId="19"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localSheetId="19"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localSheetId="19"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localSheetId="19"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9" hidden="1">{#N/A,#N/A,FALSE,"O&amp;M by processes";#N/A,#N/A,FALSE,"Elec Act vs Bud";#N/A,#N/A,FALSE,"G&amp;A";#N/A,#N/A,FALSE,"BGS";#N/A,#N/A,FALSE,"Res Cost"}</definedName>
    <definedName name="gitah" hidden="1">{#N/A,#N/A,FALSE,"O&amp;M by processes";#N/A,#N/A,FALSE,"Elec Act vs Bud";#N/A,#N/A,FALSE,"G&amp;A";#N/A,#N/A,FALSE,"BGS";#N/A,#N/A,FALSE,"Res Cost"}</definedName>
    <definedName name="h" localSheetId="19" hidden="1">{#N/A,#N/A,FALSE,"Monthly SAIFI";#N/A,#N/A,FALSE,"Yearly SAIFI";#N/A,#N/A,FALSE,"Monthly CAIDI";#N/A,#N/A,FALSE,"Yearly CAIDI";#N/A,#N/A,FALSE,"Monthly SAIDI";#N/A,#N/A,FALSE,"Yearly SAIDI";#N/A,#N/A,FALSE,"Monthly MAIFI";#N/A,#N/A,FALSE,"Yearly MAIFI";#N/A,#N/A,FALSE,"Monthly Cust &gt;=4 Int"}</definedName>
    <definedName name="h" hidden="1">{#N/A,#N/A,FALSE,"Monthly SAIFI";#N/A,#N/A,FALSE,"Yearly SAIFI";#N/A,#N/A,FALSE,"Monthly CAIDI";#N/A,#N/A,FALSE,"Yearly CAIDI";#N/A,#N/A,FALSE,"Monthly SAIDI";#N/A,#N/A,FALSE,"Yearly SAIDI";#N/A,#N/A,FALSE,"Monthly MAIFI";#N/A,#N/A,FALSE,"Yearly MAIFI";#N/A,#N/A,FALSE,"Monthly Cust &gt;=4 Int"}</definedName>
    <definedName name="hh" localSheetId="19"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localSheetId="19"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localSheetId="19"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localSheetId="19"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localSheetId="19"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localSheetId="19"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localSheetId="19"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localSheetId="19"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localSheetId="19"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localSheetId="19" hidden="1">{#N/A,#N/A,FALSE,"Monthly SAIFI";#N/A,#N/A,FALSE,"Yearly SAIFI";#N/A,#N/A,FALSE,"Monthly CAIDI";#N/A,#N/A,FALSE,"Yearly CAIDI";#N/A,#N/A,FALSE,"Monthly SAIDI";#N/A,#N/A,FALSE,"Yearly SAIDI";#N/A,#N/A,FALSE,"Monthly MAIFI";#N/A,#N/A,FALSE,"Yearly MAIFI";#N/A,#N/A,FALSE,"Monthly Cust &gt;=4 Int"}</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localSheetId="19"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localSheetId="19"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localSheetId="19"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localSheetId="19"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localSheetId="19"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localSheetId="19"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localSheetId="19"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localSheetId="19" hidden="1">{#N/A,#N/A,FALSE,"EMPPAY"}</definedName>
    <definedName name="MAY" hidden="1">{#N/A,#N/A,FALSE,"EMPPAY"}</definedName>
    <definedName name="New_99_IS">'[4]2nd qtr 2000'!$A$1:$I$58,'[4]2nd qtr 2000'!$K$1:$T$58,'[4]2nd qtr 2000'!$V$1:$AI$58</definedName>
    <definedName name="November09" localSheetId="19" hidden="1">{#N/A,#N/A,FALSE,"Monthly SAIFI";#N/A,#N/A,FALSE,"Yearly SAIFI";#N/A,#N/A,FALSE,"Monthly CAIDI";#N/A,#N/A,FALSE,"Yearly CAIDI";#N/A,#N/A,FALSE,"Monthly SAIDI";#N/A,#N/A,FALSE,"Yearly SAIDI";#N/A,#N/A,FALSE,"Monthly MAIFI";#N/A,#N/A,FALSE,"Yearly MAIFI";#N/A,#N/A,FALSE,"Monthly Cust &gt;=4 Int"}</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'[4]2nd qtr 2000'!$D$1:$I$58,'[4]2nd qtr 2000'!$N$1:$T$58,'[4]2nd qtr 2000'!$AA$1:$AH$57</definedName>
    <definedName name="_xlnm.Print_Area" localSheetId="2">'1-Project Rev Req'!$A$1:$T$122</definedName>
    <definedName name="_xlnm.Print_Area" localSheetId="3">'2-Incentive ROE'!$A$1:$K$48</definedName>
    <definedName name="_xlnm.Print_Area" localSheetId="5">'4- Rate Base'!$A$1:$L$118</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0">'4E COA'!$A$1:$H$89</definedName>
    <definedName name="_xlnm.Print_Area" localSheetId="12">'5A - Revenue Credits'!$A$1:$H$93</definedName>
    <definedName name="_xlnm.Print_Area" localSheetId="13">'5B - A&amp;G'!$A$1:$J$31</definedName>
    <definedName name="_xlnm.Print_Area" localSheetId="11">'5-P3 Support'!$A$1:$M$56</definedName>
    <definedName name="_xlnm.Print_Area" localSheetId="15">'6-True-Up Interest'!$A$1:$I$74</definedName>
    <definedName name="_xlnm.Print_Area" localSheetId="16">'7 - PBOP'!$A$1:$F$25</definedName>
    <definedName name="_xlnm.Print_Area" localSheetId="17">'8 - Depreciation Rates'!$A$1:$L$149</definedName>
    <definedName name="_xlnm.Print_Area" localSheetId="1">'Attachment H-7'!$A$1:$K$255</definedName>
    <definedName name="_xlnm.Print_Area" localSheetId="0">Title!$A$1:$G$22</definedName>
    <definedName name="Print_TFI_use">'[5]TFI use'!$A$1:$P$40,'[5]TFI use'!$A$42:$P$65,'[5]TFI use'!$A$67:$R$84</definedName>
    <definedName name="reawreqw" localSheetId="19" hidden="1">{#N/A,#N/A,FALSE,"Monthly SAIFI";#N/A,#N/A,FALSE,"Yearly SAIFI";#N/A,#N/A,FALSE,"Monthly CAIDI";#N/A,#N/A,FALSE,"Yearly CAIDI";#N/A,#N/A,FALSE,"Monthly SAIDI";#N/A,#N/A,FALSE,"Yearly SAIDI";#N/A,#N/A,FALSE,"Monthly MAIFI";#N/A,#N/A,FALSE,"Yearly MAIFI";#N/A,#N/A,FALSE,"Monthly Cust &gt;=4 Int"}</definedName>
    <definedName name="reawreqw" hidden="1">{#N/A,#N/A,FALSE,"Monthly SAIFI";#N/A,#N/A,FALSE,"Yearly SAIFI";#N/A,#N/A,FALSE,"Monthly CAIDI";#N/A,#N/A,FALSE,"Yearly CAIDI";#N/A,#N/A,FALSE,"Monthly SAIDI";#N/A,#N/A,FALSE,"Yearly SAIDI";#N/A,#N/A,FALSE,"Monthly MAIFI";#N/A,#N/A,FALSE,"Yearly MAIFI";#N/A,#N/A,FALSE,"Monthly Cust &gt;=4 Int"}</definedName>
    <definedName name="rrrr" localSheetId="19" hidden="1">{#N/A,#N/A,FALSE,"O&amp;M by processes";#N/A,#N/A,FALSE,"Elec Act vs Bud";#N/A,#N/A,FALSE,"G&amp;A";#N/A,#N/A,FALSE,"BGS";#N/A,#N/A,FALSE,"Res Cost"}</definedName>
    <definedName name="rrrr" hidden="1">{#N/A,#N/A,FALSE,"O&amp;M by processes";#N/A,#N/A,FALSE,"Elec Act vs Bud";#N/A,#N/A,FALSE,"G&amp;A";#N/A,#N/A,FALSE,"BGS";#N/A,#N/A,FALSE,"Res Cost"}</definedName>
    <definedName name="saSAsa" localSheetId="19" hidden="1">{#N/A,#N/A,FALSE,"Monthly SAIFI";#N/A,#N/A,FALSE,"Yearly SAIFI";#N/A,#N/A,FALSE,"Monthly CAIDI";#N/A,#N/A,FALSE,"Yearly CAIDI";#N/A,#N/A,FALSE,"Monthly SAIDI";#N/A,#N/A,FALSE,"Yearly SAIDI";#N/A,#N/A,FALSE,"Monthly MAIFI";#N/A,#N/A,FALSE,"Yearly MAIFI";#N/A,#N/A,FALSE,"Monthly Cust &gt;=4 Int"}</definedName>
    <definedName name="saSAsa" hidden="1">{#N/A,#N/A,FALSE,"Monthly SAIFI";#N/A,#N/A,FALSE,"Yearly SAIFI";#N/A,#N/A,FALSE,"Monthly CAIDI";#N/A,#N/A,FALSE,"Yearly CAIDI";#N/A,#N/A,FALSE,"Monthly SAIDI";#N/A,#N/A,FALSE,"Yearly SAIDI";#N/A,#N/A,FALSE,"Monthly MAIFI";#N/A,#N/A,FALSE,"Yearly MAIFI";#N/A,#N/A,FALSE,"Monthly Cust &gt;=4 Int"}</definedName>
    <definedName name="sdf" localSheetId="19"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localSheetId="19"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localSheetId="19"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localSheetId="19"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localSheetId="19"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localSheetId="19"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localSheetId="19"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localSheetId="19"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localSheetId="19"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localSheetId="19"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localSheetId="19" hidden="1">{#N/A,#N/A,FALSE,"O&amp;M by processes";#N/A,#N/A,FALSE,"Elec Act vs Bud";#N/A,#N/A,FALSE,"G&amp;A";#N/A,#N/A,FALSE,"BGS";#N/A,#N/A,FALSE,"Res Cost"}</definedName>
    <definedName name="shiva" hidden="1">{#N/A,#N/A,FALSE,"O&amp;M by processes";#N/A,#N/A,FALSE,"Elec Act vs Bud";#N/A,#N/A,FALSE,"G&amp;A";#N/A,#N/A,FALSE,"BGS";#N/A,#N/A,FALSE,"Res Cost"}</definedName>
    <definedName name="slldk" localSheetId="19" hidden="1">{#N/A,#N/A,FALSE,"Monthly SAIFI";#N/A,#N/A,FALSE,"Yearly SAIFI";#N/A,#N/A,FALSE,"Monthly CAIDI";#N/A,#N/A,FALSE,"Yearly CAIDI";#N/A,#N/A,FALSE,"Monthly SAIDI";#N/A,#N/A,FALSE,"Yearly SAIDI";#N/A,#N/A,FALSE,"Monthly MAIFI";#N/A,#N/A,FALSE,"Yearly MAIFI";#N/A,#N/A,FALSE,"Monthly Cust &gt;=4 Int"}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localSheetId="19" hidden="1">{#N/A,#N/A,FALSE,"O&amp;M by processes";#N/A,#N/A,FALSE,"Elec Act vs Bud";#N/A,#N/A,FALSE,"G&amp;A";#N/A,#N/A,FALSE,"BGS";#N/A,#N/A,FALSE,"Res Cost"}</definedName>
    <definedName name="statsrevised" hidden="1">{#N/A,#N/A,FALSE,"O&amp;M by processes";#N/A,#N/A,FALSE,"Elec Act vs Bud";#N/A,#N/A,FALSE,"G&amp;A";#N/A,#N/A,FALSE,"BGS";#N/A,#N/A,FALSE,"Res Cost"}</definedName>
    <definedName name="support" localSheetId="19"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9"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localSheetId="19" hidden="1">{#N/A,#N/A,FALSE,"EMPPAY"}</definedName>
    <definedName name="TEST" hidden="1">{#N/A,#N/A,FALSE,"EMPPAY"}</definedName>
    <definedName name="Time" hidden="1">"b1"</definedName>
    <definedName name="toma" localSheetId="19"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9"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9"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9"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9"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9"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9"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localSheetId="19" hidden="1">{#N/A,#N/A,FALSE,"Monthly SAIFI";#N/A,#N/A,FALSE,"Yearly SAIFI";#N/A,#N/A,FALSE,"Monthly CAIDI";#N/A,#N/A,FALSE,"Yearly CAIDI";#N/A,#N/A,FALSE,"Monthly SAIDI";#N/A,#N/A,FALSE,"Yearly SAIDI";#N/A,#N/A,FALSE,"Monthly MAIFI";#N/A,#N/A,FALSE,"Yearly MAIFI";#N/A,#N/A,FALSE,"Monthly Cust &gt;=4 Int"}</definedName>
    <definedName name="tyty" hidden="1">{#N/A,#N/A,FALSE,"Monthly SAIFI";#N/A,#N/A,FALSE,"Yearly SAIFI";#N/A,#N/A,FALSE,"Monthly CAIDI";#N/A,#N/A,FALSE,"Yearly CAIDI";#N/A,#N/A,FALSE,"Monthly SAIDI";#N/A,#N/A,FALSE,"Yearly SAIDI";#N/A,#N/A,FALSE,"Monthly MAIFI";#N/A,#N/A,FALSE,"Yearly MAIFI";#N/A,#N/A,FALSE,"Monthly Cust &gt;=4 Int"}</definedName>
    <definedName name="vcbcvbcv" localSheetId="19"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localSheetId="19" hidden="1">{#N/A,#N/A,FALSE,"Monthly SAIFI";#N/A,#N/A,FALSE,"Yearly SAIFI";#N/A,#N/A,FALSE,"Monthly CAIDI";#N/A,#N/A,FALSE,"Yearly CAIDI";#N/A,#N/A,FALSE,"Monthly SAIDI";#N/A,#N/A,FALSE,"Yearly SAIDI";#N/A,#N/A,FALSE,"Monthly MAIFI";#N/A,#N/A,FALSE,"Yearly MAIFI";#N/A,#N/A,FALSE,"Monthly Cust &gt;=4 Int"}</definedName>
    <definedName name="wer" hidden="1">{#N/A,#N/A,FALSE,"Monthly SAIFI";#N/A,#N/A,FALSE,"Yearly SAIFI";#N/A,#N/A,FALSE,"Monthly CAIDI";#N/A,#N/A,FALSE,"Yearly CAIDI";#N/A,#N/A,FALSE,"Monthly SAIDI";#N/A,#N/A,FALSE,"Yearly SAIDI";#N/A,#N/A,FALSE,"Monthly MAIFI";#N/A,#N/A,FALSE,"Yearly MAIFI";#N/A,#N/A,FALSE,"Monthly Cust &gt;=4 Int"}</definedName>
    <definedName name="wh" localSheetId="19"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9"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9"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9"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9"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9"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9"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9" hidden="1">{#N/A,#N/A,FALSE,"O&amp;M by processes";#N/A,#N/A,FALSE,"Elec Act vs Bud";#N/A,#N/A,FALSE,"G&amp;A";#N/A,#N/A,FALSE,"BGS";#N/A,#N/A,FALSE,"Res Cost"}</definedName>
    <definedName name="wrn" hidden="1">{#N/A,#N/A,FALSE,"O&amp;M by processes";#N/A,#N/A,FALSE,"Elec Act vs Bud";#N/A,#N/A,FALSE,"G&amp;A";#N/A,#N/A,FALSE,"BGS";#N/A,#N/A,FALSE,"Res Cost"}</definedName>
    <definedName name="wrn.722." localSheetId="19" hidden="1">{#N/A,#N/A,FALSE,"CURRENT"}</definedName>
    <definedName name="wrn.722." hidden="1">{#N/A,#N/A,FALSE,"CURRENT"}</definedName>
    <definedName name="wrn.AGT." localSheetId="19" hidden="1">{"AGT",#N/A,FALSE,"Revenue"}</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localSheetId="19" hidden="1">{#N/A,#N/A,FALSE,"ARREC"}</definedName>
    <definedName name="wrn.ARREC." hidden="1">{#N/A,#N/A,FALSE,"ARREC"}</definedName>
    <definedName name="wrn.August._.1._.2003._.Rate._.Change." localSheetId="19"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19" hidden="1">{#N/A,#N/A,FALSE,"O&amp;M by processes";#N/A,#N/A,FALSE,"Elec Act vs Bud";#N/A,#N/A,FALSE,"G&amp;A";#N/A,#N/A,FALSE,"BGS";#N/A,#N/A,FALSE,"Res Cost"}</definedName>
    <definedName name="wrn.Basic." hidden="1">{#N/A,#N/A,FALSE,"O&amp;M by processes";#N/A,#N/A,FALSE,"Elec Act vs Bud";#N/A,#N/A,FALSE,"G&amp;A";#N/A,#N/A,FALSE,"BGS";#N/A,#N/A,FALSE,"Res Cost"}</definedName>
    <definedName name="wrn.ChartSet." localSheetId="19"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Data._.dump." localSheetId="19" hidden="1">{"Input Data",#N/A,FALSE,"Input";"Income and Cash Flow",#N/A,FALSE,"Calculations"}</definedName>
    <definedName name="wrn.Data._.dump." hidden="1">{"Input Data",#N/A,FALSE,"Input";"Income and Cash Flow",#N/A,FALSE,"Calculations"}</definedName>
    <definedName name="wrn.Deferral._.Forecast." localSheetId="19"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localSheetId="19" hidden="1">{#N/A,#N/A,FALSE,"EMPPAY"}</definedName>
    <definedName name="wrn.EMPPAY." hidden="1">{#N/A,#N/A,FALSE,"EMPPAY"}</definedName>
    <definedName name="wrn.Filing." localSheetId="19"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19" hidden="1">{"Print Empty Template",#N/A,FALSE,"Input"}</definedName>
    <definedName name="wrn.For._.filling._.out._.assessments." hidden="1">{"Print Empty Template",#N/A,FALSE,"Input"}</definedName>
    <definedName name="wrn.HLP._.Detail." localSheetId="19"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PrintAll." localSheetId="19" hidden="1">{#N/A,#N/A,FALSE,"Monthly SAIFI";#N/A,#N/A,FALSE,"Yearly SAIFI";#N/A,#N/A,FALSE,"Monthly CAIDI";#N/A,#N/A,FALSE,"Yearly CAIDI";#N/A,#N/A,FALSE,"Monthly SAIDI";#N/A,#N/A,FALSE,"Yearly SAIDI";#N/A,#N/A,FALSE,"Monthly MAIFI";#N/A,#N/A,FALSE,"Yearly MAIFI";#N/A,#N/A,FALSE,"Monthly Cust &gt;=4 Int"}</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localSheetId="19" hidden="1">{#N/A,#N/A,FALSE,"Work performed";#N/A,#N/A,FALSE,"Resources"}</definedName>
    <definedName name="wrn.Report." hidden="1">{#N/A,#N/A,FALSE,"Work performed";#N/A,#N/A,FALSE,"Resources"}</definedName>
    <definedName name="wrn.Revenue._.Analysis." localSheetId="19"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localSheetId="19" hidden="1">{#N/A,#N/A,FALSE,"Work performed";#N/A,#N/A,FALSE,"Resources"}</definedName>
    <definedName name="wrn.Supporting._.Calculations." hidden="1">{#N/A,#N/A,FALSE,"Work performed";#N/A,#N/A,FALSE,"Resources"}</definedName>
    <definedName name="wrn.Tax._.Accrual." localSheetId="19" hidden="1">{#N/A,#N/A,TRUE,"TAXPROV";#N/A,#N/A,TRUE,"FLOWTHRU";#N/A,#N/A,TRUE,"SCHEDULE M'S";#N/A,#N/A,TRUE,"PLANT M'S";#N/A,#N/A,TRUE,"TAXJE"}</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localSheetId="19" hidden="1">{#N/A,#N/A,FALSE,"EMPPAY"}</definedName>
    <definedName name="xx" hidden="1">{#N/A,#N/A,FALSE,"EMPPAY"}</definedName>
    <definedName name="xxx" localSheetId="19"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9" hidden="1">{#N/A,#N/A,FALSE,"O&amp;M by processes";#N/A,#N/A,FALSE,"Elec Act vs Bud";#N/A,#N/A,FALSE,"G&amp;A";#N/A,#N/A,FALSE,"BGS";#N/A,#N/A,FALSE,"Res Cost"}</definedName>
    <definedName name="xxxx" hidden="1">{#N/A,#N/A,FALSE,"O&amp;M by processes";#N/A,#N/A,FALSE,"Elec Act vs Bud";#N/A,#N/A,FALSE,"G&amp;A";#N/A,#N/A,FALSE,"BGS";#N/A,#N/A,FALSE,"Res Cost"}</definedName>
    <definedName name="y" localSheetId="19" hidden="1">{#N/A,#N/A,FALSE,"Monthly SAIFI";#N/A,#N/A,FALSE,"Yearly SAIFI";#N/A,#N/A,FALSE,"Monthly CAIDI";#N/A,#N/A,FALSE,"Yearly CAIDI";#N/A,#N/A,FALSE,"Monthly SAIDI";#N/A,#N/A,FALSE,"Yearly SAIDI";#N/A,#N/A,FALSE,"Monthly MAIFI";#N/A,#N/A,FALSE,"Yearly MAIFI";#N/A,#N/A,FALSE,"Monthly Cust &gt;=4 Int"}</definedName>
    <definedName name="y" hidden="1">{#N/A,#N/A,FALSE,"Monthly SAIFI";#N/A,#N/A,FALSE,"Yearly SAIFI";#N/A,#N/A,FALSE,"Monthly CAIDI";#N/A,#N/A,FALSE,"Yearly CAIDI";#N/A,#N/A,FALSE,"Monthly SAIDI";#N/A,#N/A,FALSE,"Yearly SAIDI";#N/A,#N/A,FALSE,"Monthly MAIFI";#N/A,#N/A,FALSE,"Yearly MAIFI";#N/A,#N/A,FALSE,"Monthly Cust &gt;=4 Int"}</definedName>
    <definedName name="Year">[6]Rev_Req!$I$5</definedName>
    <definedName name="yryryrr" localSheetId="19" hidden="1">{#N/A,#N/A,FALSE,"Monthly SAIFI";#N/A,#N/A,FALSE,"Yearly SAIFI";#N/A,#N/A,FALSE,"Monthly CAIDI";#N/A,#N/A,FALSE,"Yearly CAIDI";#N/A,#N/A,FALSE,"Monthly SAIDI";#N/A,#N/A,FALSE,"Yearly SAIDI";#N/A,#N/A,FALSE,"Monthly MAIFI";#N/A,#N/A,FALSE,"Yearly MAIFI";#N/A,#N/A,FALSE,"Monthly Cust &gt;=4 Int"}</definedName>
    <definedName name="yryryrr" hidden="1">{#N/A,#N/A,FALSE,"Monthly SAIFI";#N/A,#N/A,FALSE,"Yearly SAIFI";#N/A,#N/A,FALSE,"Monthly CAIDI";#N/A,#N/A,FALSE,"Yearly CAIDI";#N/A,#N/A,FALSE,"Monthly SAIDI";#N/A,#N/A,FALSE,"Yearly SAIDI";#N/A,#N/A,FALSE,"Monthly MAIFI";#N/A,#N/A,FALSE,"Yearly MAIFI";#N/A,#N/A,FALSE,"Monthly Cust &gt;=4 Int"}</definedName>
    <definedName name="z" localSheetId="19"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H-7'!$A$1:$K$247</definedName>
  </definedNames>
  <calcPr calcId="191029" iterate="1" iterateCount="300" iterateDelta="1E-4" calcOnSave="0"/>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4" i="21" l="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E86" i="49" l="1"/>
  <c r="E75" i="49"/>
  <c r="E76" i="49"/>
  <c r="E77" i="49"/>
  <c r="E78" i="49"/>
  <c r="E79" i="49"/>
  <c r="E80" i="49"/>
  <c r="E81" i="49"/>
  <c r="E82" i="49"/>
  <c r="E83" i="49"/>
  <c r="E84" i="49"/>
  <c r="E85" i="49"/>
  <c r="E74" i="49"/>
  <c r="F116" i="5" l="1"/>
  <c r="H43" i="21" l="1"/>
  <c r="H44"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l="1"/>
  <c r="I12" i="1" l="1"/>
  <c r="E51" i="49" l="1"/>
  <c r="E34" i="49"/>
  <c r="E17" i="49"/>
  <c r="J112" i="52" l="1"/>
  <c r="I112" i="52"/>
  <c r="J111" i="52"/>
  <c r="I111" i="52"/>
  <c r="J110" i="52"/>
  <c r="I110" i="52"/>
  <c r="J109" i="52"/>
  <c r="J108" i="52"/>
  <c r="I108" i="52"/>
  <c r="D78" i="28" l="1"/>
  <c r="G78" i="28"/>
  <c r="C78" i="28"/>
  <c r="F78" i="28"/>
  <c r="D196" i="1"/>
  <c r="F12" i="6" l="1"/>
  <c r="H114" i="58" l="1"/>
  <c r="V112" i="58"/>
  <c r="U112" i="58"/>
  <c r="T112" i="58"/>
  <c r="S112" i="58"/>
  <c r="N112" i="58"/>
  <c r="L112" i="58"/>
  <c r="H112" i="58"/>
  <c r="F112" i="58"/>
  <c r="P111" i="58"/>
  <c r="O111" i="58"/>
  <c r="M111" i="58"/>
  <c r="J111" i="58"/>
  <c r="R111" i="58" s="1"/>
  <c r="X111" i="58" s="1"/>
  <c r="AF111" i="58" s="1"/>
  <c r="I111" i="58"/>
  <c r="G111" i="58"/>
  <c r="O110" i="58"/>
  <c r="M110" i="58"/>
  <c r="I110" i="58"/>
  <c r="G110" i="58"/>
  <c r="J110" i="58" s="1"/>
  <c r="AF109" i="58"/>
  <c r="O109" i="58"/>
  <c r="P109" i="58" s="1"/>
  <c r="M109" i="58"/>
  <c r="I109" i="58"/>
  <c r="G109" i="58"/>
  <c r="R108" i="58"/>
  <c r="X108" i="58" s="1"/>
  <c r="AF108" i="58" s="1"/>
  <c r="O108" i="58"/>
  <c r="M108" i="58"/>
  <c r="P108" i="58" s="1"/>
  <c r="J108" i="58"/>
  <c r="I108" i="58"/>
  <c r="G108" i="58"/>
  <c r="P107" i="58"/>
  <c r="O107" i="58"/>
  <c r="M107" i="58"/>
  <c r="I107" i="58"/>
  <c r="G107" i="58"/>
  <c r="O106" i="58"/>
  <c r="M106" i="58"/>
  <c r="P106" i="58" s="1"/>
  <c r="J106" i="58"/>
  <c r="I106" i="58"/>
  <c r="G106" i="58"/>
  <c r="O105" i="58"/>
  <c r="P105" i="58" s="1"/>
  <c r="M105" i="58"/>
  <c r="I105" i="58"/>
  <c r="G105" i="58"/>
  <c r="O104" i="58"/>
  <c r="M104" i="58"/>
  <c r="P104" i="58" s="1"/>
  <c r="J104" i="58"/>
  <c r="R104" i="58" s="1"/>
  <c r="X104" i="58" s="1"/>
  <c r="AF104" i="58" s="1"/>
  <c r="I104" i="58"/>
  <c r="G104" i="58"/>
  <c r="P103" i="58"/>
  <c r="O103" i="58"/>
  <c r="M103" i="58"/>
  <c r="I103" i="58"/>
  <c r="G103" i="58"/>
  <c r="O102" i="58"/>
  <c r="M102" i="58"/>
  <c r="P102" i="58" s="1"/>
  <c r="J102" i="58"/>
  <c r="R102" i="58" s="1"/>
  <c r="X102" i="58" s="1"/>
  <c r="AF102" i="58" s="1"/>
  <c r="I102" i="58"/>
  <c r="G102" i="58"/>
  <c r="O101" i="58"/>
  <c r="P101" i="58" s="1"/>
  <c r="M101" i="58"/>
  <c r="I101" i="58"/>
  <c r="G101" i="58"/>
  <c r="O100" i="58"/>
  <c r="M100" i="58"/>
  <c r="P100" i="58" s="1"/>
  <c r="J100" i="58"/>
  <c r="R100" i="58" s="1"/>
  <c r="X100" i="58" s="1"/>
  <c r="AF100" i="58" s="1"/>
  <c r="I100" i="58"/>
  <c r="G100" i="58"/>
  <c r="P99" i="58"/>
  <c r="O99" i="58"/>
  <c r="M99" i="58"/>
  <c r="I99" i="58"/>
  <c r="G99" i="58"/>
  <c r="J99" i="58" s="1"/>
  <c r="R99" i="58" s="1"/>
  <c r="X99" i="58" s="1"/>
  <c r="AF99" i="58" s="1"/>
  <c r="O98" i="58"/>
  <c r="M98" i="58"/>
  <c r="P98" i="58" s="1"/>
  <c r="J98" i="58"/>
  <c r="R98" i="58" s="1"/>
  <c r="X98" i="58" s="1"/>
  <c r="AF98" i="58" s="1"/>
  <c r="I98" i="58"/>
  <c r="G98" i="58"/>
  <c r="O97" i="58"/>
  <c r="P97" i="58" s="1"/>
  <c r="M97" i="58"/>
  <c r="I97" i="58"/>
  <c r="G97" i="58"/>
  <c r="R96" i="58"/>
  <c r="X96" i="58" s="1"/>
  <c r="AF96" i="58" s="1"/>
  <c r="O96" i="58"/>
  <c r="M96" i="58"/>
  <c r="P96" i="58" s="1"/>
  <c r="J96" i="58"/>
  <c r="I96" i="58"/>
  <c r="G96" i="58"/>
  <c r="P95" i="58"/>
  <c r="O95" i="58"/>
  <c r="M95" i="58"/>
  <c r="I95" i="58"/>
  <c r="G95" i="58"/>
  <c r="J95" i="58" s="1"/>
  <c r="R95" i="58" s="1"/>
  <c r="X95" i="58" s="1"/>
  <c r="AF95" i="58" s="1"/>
  <c r="O94" i="58"/>
  <c r="M94" i="58"/>
  <c r="P94" i="58" s="1"/>
  <c r="J94" i="58"/>
  <c r="I94" i="58"/>
  <c r="G94" i="58"/>
  <c r="O93" i="58"/>
  <c r="P93" i="58" s="1"/>
  <c r="M93" i="58"/>
  <c r="I93" i="58"/>
  <c r="G93" i="58"/>
  <c r="R92" i="58"/>
  <c r="X92" i="58" s="1"/>
  <c r="AF92" i="58" s="1"/>
  <c r="O92" i="58"/>
  <c r="M92" i="58"/>
  <c r="P92" i="58" s="1"/>
  <c r="J92" i="58"/>
  <c r="I92" i="58"/>
  <c r="G92" i="58"/>
  <c r="P91" i="58"/>
  <c r="O91" i="58"/>
  <c r="M91" i="58"/>
  <c r="I91" i="58"/>
  <c r="G91" i="58"/>
  <c r="O90" i="58"/>
  <c r="M90" i="58"/>
  <c r="P90" i="58" s="1"/>
  <c r="J90" i="58"/>
  <c r="I90" i="58"/>
  <c r="G90" i="58"/>
  <c r="O89" i="58"/>
  <c r="P89" i="58" s="1"/>
  <c r="M89" i="58"/>
  <c r="I89" i="58"/>
  <c r="G89" i="58"/>
  <c r="O88" i="58"/>
  <c r="M88" i="58"/>
  <c r="P88" i="58" s="1"/>
  <c r="J88" i="58"/>
  <c r="R88" i="58" s="1"/>
  <c r="X88" i="58" s="1"/>
  <c r="AF88" i="58" s="1"/>
  <c r="I88" i="58"/>
  <c r="G88" i="58"/>
  <c r="P87" i="58"/>
  <c r="O87" i="58"/>
  <c r="M87" i="58"/>
  <c r="I87" i="58"/>
  <c r="I112" i="58" s="1"/>
  <c r="G87" i="58"/>
  <c r="O86" i="58"/>
  <c r="M86" i="58"/>
  <c r="P86" i="58" s="1"/>
  <c r="J86" i="58"/>
  <c r="R86" i="58" s="1"/>
  <c r="X86" i="58" s="1"/>
  <c r="AF86" i="58" s="1"/>
  <c r="I86" i="58"/>
  <c r="G86" i="58"/>
  <c r="O85" i="58"/>
  <c r="P85" i="58" s="1"/>
  <c r="M85" i="58"/>
  <c r="I85" i="58"/>
  <c r="G85" i="58"/>
  <c r="V82" i="58"/>
  <c r="T82" i="58"/>
  <c r="N82" i="58"/>
  <c r="L82" i="58"/>
  <c r="H82" i="58"/>
  <c r="F82" i="58"/>
  <c r="R81" i="58"/>
  <c r="X81" i="58" s="1"/>
  <c r="AF81" i="58" s="1"/>
  <c r="O81" i="58"/>
  <c r="M81" i="58"/>
  <c r="P81" i="58" s="1"/>
  <c r="J81" i="58"/>
  <c r="I81" i="58"/>
  <c r="G81" i="58"/>
  <c r="P79" i="58"/>
  <c r="O79" i="58"/>
  <c r="M79" i="58"/>
  <c r="I79" i="58"/>
  <c r="J79" i="58" s="1"/>
  <c r="R79" i="58" s="1"/>
  <c r="X79" i="58" s="1"/>
  <c r="AF79" i="58" s="1"/>
  <c r="G79" i="58"/>
  <c r="O78" i="58"/>
  <c r="M78" i="58"/>
  <c r="I78" i="58"/>
  <c r="G78" i="58"/>
  <c r="J78" i="58" s="1"/>
  <c r="P77" i="58"/>
  <c r="O77" i="58"/>
  <c r="M77" i="58"/>
  <c r="J77" i="58"/>
  <c r="R77" i="58" s="1"/>
  <c r="X77" i="58" s="1"/>
  <c r="AF77" i="58" s="1"/>
  <c r="I77" i="58"/>
  <c r="G77" i="58"/>
  <c r="O76" i="58"/>
  <c r="M76" i="58"/>
  <c r="P76" i="58" s="1"/>
  <c r="I76" i="58"/>
  <c r="G76" i="58"/>
  <c r="J76" i="58" s="1"/>
  <c r="P75" i="58"/>
  <c r="O75" i="58"/>
  <c r="M75" i="58"/>
  <c r="I75" i="58"/>
  <c r="J75" i="58" s="1"/>
  <c r="R75" i="58" s="1"/>
  <c r="X75" i="58" s="1"/>
  <c r="AF75" i="58" s="1"/>
  <c r="G75" i="58"/>
  <c r="O74" i="58"/>
  <c r="M74" i="58"/>
  <c r="I74" i="58"/>
  <c r="G74" i="58"/>
  <c r="J74" i="58" s="1"/>
  <c r="O71" i="58"/>
  <c r="M71" i="58"/>
  <c r="I71" i="58"/>
  <c r="G71" i="58"/>
  <c r="J71" i="58" s="1"/>
  <c r="P70" i="58"/>
  <c r="O70" i="58"/>
  <c r="M70" i="58"/>
  <c r="J70" i="58"/>
  <c r="R70" i="58" s="1"/>
  <c r="X70" i="58" s="1"/>
  <c r="AF70" i="58" s="1"/>
  <c r="I70" i="58"/>
  <c r="G70" i="58"/>
  <c r="O69" i="58"/>
  <c r="M69" i="58"/>
  <c r="I69" i="58"/>
  <c r="G69" i="58"/>
  <c r="J69" i="58" s="1"/>
  <c r="P68" i="58"/>
  <c r="O68" i="58"/>
  <c r="M68" i="58"/>
  <c r="I68" i="58"/>
  <c r="J68" i="58" s="1"/>
  <c r="R68" i="58" s="1"/>
  <c r="X68" i="58" s="1"/>
  <c r="AF68" i="58" s="1"/>
  <c r="G68" i="58"/>
  <c r="O67" i="58"/>
  <c r="M67" i="58"/>
  <c r="P67" i="58" s="1"/>
  <c r="I67" i="58"/>
  <c r="G67" i="58"/>
  <c r="J67" i="58" s="1"/>
  <c r="P66" i="58"/>
  <c r="O66" i="58"/>
  <c r="M66" i="58"/>
  <c r="J66" i="58"/>
  <c r="R66" i="58" s="1"/>
  <c r="X66" i="58" s="1"/>
  <c r="I66" i="58"/>
  <c r="G66" i="58"/>
  <c r="P63" i="58"/>
  <c r="O63" i="58"/>
  <c r="M63" i="58"/>
  <c r="J63" i="58"/>
  <c r="R63" i="58" s="1"/>
  <c r="X63" i="58" s="1"/>
  <c r="AF63" i="58" s="1"/>
  <c r="I63" i="58"/>
  <c r="G63" i="58"/>
  <c r="O62" i="58"/>
  <c r="M62" i="58"/>
  <c r="P62" i="58" s="1"/>
  <c r="I62" i="58"/>
  <c r="G62" i="58"/>
  <c r="J62" i="58" s="1"/>
  <c r="P61" i="58"/>
  <c r="O61" i="58"/>
  <c r="M61" i="58"/>
  <c r="J61" i="58"/>
  <c r="R61" i="58" s="1"/>
  <c r="X61" i="58" s="1"/>
  <c r="AF61" i="58" s="1"/>
  <c r="I61" i="58"/>
  <c r="G61" i="58"/>
  <c r="O60" i="58"/>
  <c r="O82" i="58" s="1"/>
  <c r="M60" i="58"/>
  <c r="I60" i="58"/>
  <c r="G60" i="58"/>
  <c r="J60" i="58" s="1"/>
  <c r="P59" i="58"/>
  <c r="O59" i="58"/>
  <c r="M59" i="58"/>
  <c r="J59" i="58"/>
  <c r="R59" i="58" s="1"/>
  <c r="I59" i="58"/>
  <c r="G59" i="58"/>
  <c r="W54" i="58"/>
  <c r="V54" i="58"/>
  <c r="V114" i="58" s="1"/>
  <c r="U54" i="58"/>
  <c r="T54" i="58"/>
  <c r="T114" i="58" s="1"/>
  <c r="S54" i="58"/>
  <c r="N54" i="58"/>
  <c r="L54" i="58"/>
  <c r="L114" i="58" s="1"/>
  <c r="H54" i="58"/>
  <c r="F54" i="58"/>
  <c r="X53" i="58"/>
  <c r="AF53" i="58" s="1"/>
  <c r="O53" i="58"/>
  <c r="M53" i="58"/>
  <c r="P53" i="58" s="1"/>
  <c r="J53" i="58"/>
  <c r="R53" i="58" s="1"/>
  <c r="I53" i="58"/>
  <c r="G53" i="58"/>
  <c r="O52" i="58"/>
  <c r="M52" i="58"/>
  <c r="I52" i="58"/>
  <c r="G52" i="58"/>
  <c r="J52" i="58" s="1"/>
  <c r="P51" i="58"/>
  <c r="O51" i="58"/>
  <c r="M51" i="58"/>
  <c r="J51" i="58"/>
  <c r="R51" i="58" s="1"/>
  <c r="X51" i="58" s="1"/>
  <c r="AF51" i="58" s="1"/>
  <c r="I51" i="58"/>
  <c r="G51" i="58"/>
  <c r="O50" i="58"/>
  <c r="M50" i="58"/>
  <c r="P50" i="58" s="1"/>
  <c r="I50" i="58"/>
  <c r="G50" i="58"/>
  <c r="J50" i="58" s="1"/>
  <c r="P49" i="58"/>
  <c r="O49" i="58"/>
  <c r="M49" i="58"/>
  <c r="I49" i="58"/>
  <c r="J49" i="58" s="1"/>
  <c r="R49" i="58" s="1"/>
  <c r="X49" i="58" s="1"/>
  <c r="AF49" i="58" s="1"/>
  <c r="G49" i="58"/>
  <c r="O48" i="58"/>
  <c r="M48" i="58"/>
  <c r="I48" i="58"/>
  <c r="G48" i="58"/>
  <c r="J48" i="58" s="1"/>
  <c r="P47" i="58"/>
  <c r="O47" i="58"/>
  <c r="M47" i="58"/>
  <c r="J47" i="58"/>
  <c r="R47" i="58" s="1"/>
  <c r="X47" i="58" s="1"/>
  <c r="AF47" i="58" s="1"/>
  <c r="I47" i="58"/>
  <c r="G47" i="58"/>
  <c r="O46" i="58"/>
  <c r="M46" i="58"/>
  <c r="P46" i="58" s="1"/>
  <c r="I46" i="58"/>
  <c r="G46" i="58"/>
  <c r="J46" i="58" s="1"/>
  <c r="P45" i="58"/>
  <c r="O45" i="58"/>
  <c r="M45" i="58"/>
  <c r="I45" i="58"/>
  <c r="J45" i="58" s="1"/>
  <c r="R45" i="58" s="1"/>
  <c r="X45" i="58" s="1"/>
  <c r="AF45" i="58" s="1"/>
  <c r="G45" i="58"/>
  <c r="O44" i="58"/>
  <c r="M44" i="58"/>
  <c r="I44" i="58"/>
  <c r="G44" i="58"/>
  <c r="J44" i="58" s="1"/>
  <c r="P43" i="58"/>
  <c r="O43" i="58"/>
  <c r="M43" i="58"/>
  <c r="J43" i="58"/>
  <c r="R43" i="58" s="1"/>
  <c r="X43" i="58" s="1"/>
  <c r="AF43" i="58" s="1"/>
  <c r="I43" i="58"/>
  <c r="G43" i="58"/>
  <c r="O42" i="58"/>
  <c r="M42" i="58"/>
  <c r="P42" i="58" s="1"/>
  <c r="I42" i="58"/>
  <c r="G42" i="58"/>
  <c r="J42" i="58" s="1"/>
  <c r="P41" i="58"/>
  <c r="O41" i="58"/>
  <c r="M41" i="58"/>
  <c r="I41" i="58"/>
  <c r="J41" i="58" s="1"/>
  <c r="R41" i="58" s="1"/>
  <c r="X41" i="58" s="1"/>
  <c r="AF41" i="58" s="1"/>
  <c r="G41" i="58"/>
  <c r="O40" i="58"/>
  <c r="M40" i="58"/>
  <c r="I40" i="58"/>
  <c r="G40" i="58"/>
  <c r="J40" i="58" s="1"/>
  <c r="P39" i="58"/>
  <c r="O39" i="58"/>
  <c r="M39" i="58"/>
  <c r="J39" i="58"/>
  <c r="R39" i="58" s="1"/>
  <c r="X39" i="58" s="1"/>
  <c r="AF39" i="58" s="1"/>
  <c r="I39" i="58"/>
  <c r="G39" i="58"/>
  <c r="O38" i="58"/>
  <c r="M38" i="58"/>
  <c r="P38" i="58" s="1"/>
  <c r="I38" i="58"/>
  <c r="G38" i="58"/>
  <c r="J38" i="58" s="1"/>
  <c r="P37" i="58"/>
  <c r="O37" i="58"/>
  <c r="M37" i="58"/>
  <c r="I37" i="58"/>
  <c r="J37" i="58" s="1"/>
  <c r="R37" i="58" s="1"/>
  <c r="X37" i="58" s="1"/>
  <c r="AF37" i="58" s="1"/>
  <c r="G37" i="58"/>
  <c r="O36" i="58"/>
  <c r="M36" i="58"/>
  <c r="I36" i="58"/>
  <c r="G36" i="58"/>
  <c r="J36" i="58" s="1"/>
  <c r="P35" i="58"/>
  <c r="O35" i="58"/>
  <c r="M35" i="58"/>
  <c r="J35" i="58"/>
  <c r="R35" i="58" s="1"/>
  <c r="X35" i="58" s="1"/>
  <c r="AF35" i="58" s="1"/>
  <c r="I35" i="58"/>
  <c r="G35" i="58"/>
  <c r="O34" i="58"/>
  <c r="M34" i="58"/>
  <c r="P34" i="58" s="1"/>
  <c r="I34" i="58"/>
  <c r="G34" i="58"/>
  <c r="J34" i="58" s="1"/>
  <c r="P33" i="58"/>
  <c r="O33" i="58"/>
  <c r="M33" i="58"/>
  <c r="I33" i="58"/>
  <c r="J33" i="58" s="1"/>
  <c r="R33" i="58" s="1"/>
  <c r="X33" i="58" s="1"/>
  <c r="AF33" i="58" s="1"/>
  <c r="G33" i="58"/>
  <c r="O32" i="58"/>
  <c r="M32" i="58"/>
  <c r="I32" i="58"/>
  <c r="G32" i="58"/>
  <c r="J32" i="58" s="1"/>
  <c r="P31" i="58"/>
  <c r="O31" i="58"/>
  <c r="M31" i="58"/>
  <c r="J31" i="58"/>
  <c r="R31" i="58" s="1"/>
  <c r="X31" i="58" s="1"/>
  <c r="AF31" i="58" s="1"/>
  <c r="I31" i="58"/>
  <c r="G31" i="58"/>
  <c r="O30" i="58"/>
  <c r="M30" i="58"/>
  <c r="P30" i="58" s="1"/>
  <c r="I30" i="58"/>
  <c r="G30" i="58"/>
  <c r="J30" i="58" s="1"/>
  <c r="P29" i="58"/>
  <c r="O29" i="58"/>
  <c r="M29" i="58"/>
  <c r="I29" i="58"/>
  <c r="J29" i="58" s="1"/>
  <c r="R29" i="58" s="1"/>
  <c r="X29" i="58" s="1"/>
  <c r="AF29" i="58" s="1"/>
  <c r="G29" i="58"/>
  <c r="O28" i="58"/>
  <c r="M28" i="58"/>
  <c r="I28" i="58"/>
  <c r="G28" i="58"/>
  <c r="J28" i="58" s="1"/>
  <c r="P27" i="58"/>
  <c r="O27" i="58"/>
  <c r="M27" i="58"/>
  <c r="J27" i="58"/>
  <c r="R27" i="58" s="1"/>
  <c r="X27" i="58" s="1"/>
  <c r="AF27" i="58" s="1"/>
  <c r="I27" i="58"/>
  <c r="G27" i="58"/>
  <c r="O26" i="58"/>
  <c r="M26" i="58"/>
  <c r="P26" i="58" s="1"/>
  <c r="I26" i="58"/>
  <c r="G26" i="58"/>
  <c r="J26" i="58" s="1"/>
  <c r="P25" i="58"/>
  <c r="O25" i="58"/>
  <c r="M25" i="58"/>
  <c r="I25" i="58"/>
  <c r="J25" i="58" s="1"/>
  <c r="R25" i="58" s="1"/>
  <c r="X25" i="58" s="1"/>
  <c r="AF25" i="58" s="1"/>
  <c r="G25" i="58"/>
  <c r="O24" i="58"/>
  <c r="M24" i="58"/>
  <c r="I24" i="58"/>
  <c r="G24" i="58"/>
  <c r="J24" i="58" s="1"/>
  <c r="P23" i="58"/>
  <c r="O23" i="58"/>
  <c r="M23" i="58"/>
  <c r="J23" i="58"/>
  <c r="R23" i="58" s="1"/>
  <c r="X23" i="58" s="1"/>
  <c r="AF23" i="58" s="1"/>
  <c r="I23" i="58"/>
  <c r="G23" i="58"/>
  <c r="O22" i="58"/>
  <c r="M22" i="58"/>
  <c r="P22" i="58" s="1"/>
  <c r="I22" i="58"/>
  <c r="G22" i="58"/>
  <c r="J22" i="58" s="1"/>
  <c r="P21" i="58"/>
  <c r="O21" i="58"/>
  <c r="M21" i="58"/>
  <c r="I21" i="58"/>
  <c r="J21" i="58" s="1"/>
  <c r="R21" i="58" s="1"/>
  <c r="X21" i="58" s="1"/>
  <c r="AF21" i="58" s="1"/>
  <c r="G21" i="58"/>
  <c r="O20" i="58"/>
  <c r="M20" i="58"/>
  <c r="I20" i="58"/>
  <c r="G20" i="58"/>
  <c r="J20" i="58" s="1"/>
  <c r="O19" i="58"/>
  <c r="P19" i="58" s="1"/>
  <c r="M19" i="58"/>
  <c r="I19" i="58"/>
  <c r="G19" i="58"/>
  <c r="J19" i="58" s="1"/>
  <c r="O18" i="58"/>
  <c r="M18" i="58"/>
  <c r="I18" i="58"/>
  <c r="G18" i="58"/>
  <c r="J18" i="58" s="1"/>
  <c r="P17" i="58"/>
  <c r="O17" i="58"/>
  <c r="M17" i="58"/>
  <c r="I17" i="58"/>
  <c r="J17" i="58" s="1"/>
  <c r="R17" i="58" s="1"/>
  <c r="X17" i="58" s="1"/>
  <c r="AF17" i="58" s="1"/>
  <c r="G17" i="58"/>
  <c r="O16" i="58"/>
  <c r="M16" i="58"/>
  <c r="J16" i="58"/>
  <c r="I16" i="58"/>
  <c r="G16" i="58"/>
  <c r="P15" i="58"/>
  <c r="O15" i="58"/>
  <c r="M15" i="58"/>
  <c r="J15" i="58"/>
  <c r="R15" i="58" s="1"/>
  <c r="X15" i="58" s="1"/>
  <c r="AF15" i="58" s="1"/>
  <c r="I15" i="58"/>
  <c r="G15" i="58"/>
  <c r="O14" i="58"/>
  <c r="M14" i="58"/>
  <c r="P14" i="58" s="1"/>
  <c r="J14" i="58"/>
  <c r="R14" i="58" s="1"/>
  <c r="X14" i="58" s="1"/>
  <c r="AF14" i="58" s="1"/>
  <c r="I14" i="58"/>
  <c r="G14" i="58"/>
  <c r="B14" i="58"/>
  <c r="B15" i="58" s="1"/>
  <c r="B16" i="58" s="1"/>
  <c r="B17" i="58" s="1"/>
  <c r="B18" i="58" s="1"/>
  <c r="B19" i="58" s="1"/>
  <c r="B20" i="58" s="1"/>
  <c r="B21" i="58" s="1"/>
  <c r="B22" i="58" s="1"/>
  <c r="B23" i="58" s="1"/>
  <c r="B24" i="58" s="1"/>
  <c r="B25" i="58" s="1"/>
  <c r="B26" i="58" s="1"/>
  <c r="B27" i="58" s="1"/>
  <c r="B28" i="58" s="1"/>
  <c r="B29" i="58" s="1"/>
  <c r="B30" i="58" s="1"/>
  <c r="B31" i="58" s="1"/>
  <c r="B32" i="58" s="1"/>
  <c r="B33" i="58" s="1"/>
  <c r="B34" i="58" s="1"/>
  <c r="B35" i="58" s="1"/>
  <c r="B36" i="58" s="1"/>
  <c r="B37" i="58" s="1"/>
  <c r="B38" i="58" s="1"/>
  <c r="B39" i="58" s="1"/>
  <c r="B40" i="58" s="1"/>
  <c r="B41" i="58" s="1"/>
  <c r="B42" i="58" s="1"/>
  <c r="B43" i="58" s="1"/>
  <c r="B44" i="58" s="1"/>
  <c r="B45" i="58" s="1"/>
  <c r="B46" i="58" s="1"/>
  <c r="B47" i="58" s="1"/>
  <c r="B48" i="58" s="1"/>
  <c r="B49" i="58" s="1"/>
  <c r="B50" i="58" s="1"/>
  <c r="B51" i="58" s="1"/>
  <c r="B52" i="58" s="1"/>
  <c r="B53" i="58" s="1"/>
  <c r="B54" i="58" s="1"/>
  <c r="B58" i="58" s="1"/>
  <c r="B59" i="58" s="1"/>
  <c r="B60" i="58" s="1"/>
  <c r="B61" i="58" s="1"/>
  <c r="B62" i="58" s="1"/>
  <c r="B63" i="58" s="1"/>
  <c r="B64" i="58" s="1"/>
  <c r="B65" i="58" s="1"/>
  <c r="B66" i="58" s="1"/>
  <c r="B67" i="58" s="1"/>
  <c r="B68" i="58" s="1"/>
  <c r="B69" i="58" s="1"/>
  <c r="B70" i="58" s="1"/>
  <c r="B71" i="58" s="1"/>
  <c r="B72" i="58" s="1"/>
  <c r="B73" i="58" s="1"/>
  <c r="B74" i="58" s="1"/>
  <c r="B75" i="58" s="1"/>
  <c r="B76" i="58" s="1"/>
  <c r="B77" i="58" s="1"/>
  <c r="B78" i="58" s="1"/>
  <c r="B79" i="58" s="1"/>
  <c r="B80" i="58" s="1"/>
  <c r="B81" i="58" s="1"/>
  <c r="B82" i="58" s="1"/>
  <c r="B85" i="58" s="1"/>
  <c r="B86" i="58" s="1"/>
  <c r="B87" i="58" s="1"/>
  <c r="B88" i="58" s="1"/>
  <c r="B89" i="58" s="1"/>
  <c r="B90" i="58" s="1"/>
  <c r="B91" i="58" s="1"/>
  <c r="B92" i="58" s="1"/>
  <c r="B93" i="58" s="1"/>
  <c r="B94" i="58" s="1"/>
  <c r="B95" i="58" s="1"/>
  <c r="B96" i="58" s="1"/>
  <c r="B97" i="58" s="1"/>
  <c r="B98" i="58" s="1"/>
  <c r="B99" i="58" s="1"/>
  <c r="B100" i="58" s="1"/>
  <c r="B101" i="58" s="1"/>
  <c r="B102" i="58" s="1"/>
  <c r="B103" i="58" s="1"/>
  <c r="B104" i="58" s="1"/>
  <c r="B105" i="58" s="1"/>
  <c r="B106" i="58" s="1"/>
  <c r="B107" i="58" s="1"/>
  <c r="B108" i="58" s="1"/>
  <c r="B109" i="58" s="1"/>
  <c r="B110" i="58" s="1"/>
  <c r="B111" i="58" s="1"/>
  <c r="B112" i="58" s="1"/>
  <c r="B114" i="58" s="1"/>
  <c r="O13" i="58"/>
  <c r="P13" i="58" s="1"/>
  <c r="M13" i="58"/>
  <c r="I13" i="58"/>
  <c r="G13" i="58"/>
  <c r="J13" i="58" s="1"/>
  <c r="R13" i="58" s="1"/>
  <c r="X13" i="58" s="1"/>
  <c r="AF13" i="58" s="1"/>
  <c r="B13" i="58"/>
  <c r="O12" i="58"/>
  <c r="O54" i="58" s="1"/>
  <c r="M12" i="58"/>
  <c r="I12" i="58"/>
  <c r="G12" i="58"/>
  <c r="G54" i="58" s="1"/>
  <c r="AF66" i="58" l="1"/>
  <c r="R18" i="58"/>
  <c r="X18" i="58" s="1"/>
  <c r="AF18" i="58" s="1"/>
  <c r="R19" i="58"/>
  <c r="X19" i="58" s="1"/>
  <c r="AF19" i="58" s="1"/>
  <c r="X59" i="58"/>
  <c r="M82" i="58"/>
  <c r="G82" i="58"/>
  <c r="G114" i="58" s="1"/>
  <c r="J12" i="58"/>
  <c r="P16" i="58"/>
  <c r="R16" i="58" s="1"/>
  <c r="X16" i="58" s="1"/>
  <c r="AF16" i="58" s="1"/>
  <c r="R74" i="58"/>
  <c r="X74" i="58" s="1"/>
  <c r="AF74" i="58" s="1"/>
  <c r="R78" i="58"/>
  <c r="X78" i="58" s="1"/>
  <c r="AF78" i="58" s="1"/>
  <c r="J91" i="58"/>
  <c r="R91" i="58" s="1"/>
  <c r="X91" i="58" s="1"/>
  <c r="AF91" i="58" s="1"/>
  <c r="R94" i="58"/>
  <c r="X94" i="58" s="1"/>
  <c r="AF94" i="58" s="1"/>
  <c r="J107" i="58"/>
  <c r="R107" i="58" s="1"/>
  <c r="X107" i="58" s="1"/>
  <c r="AF107" i="58" s="1"/>
  <c r="O112" i="58"/>
  <c r="O114" i="58" s="1"/>
  <c r="R28" i="58"/>
  <c r="X28" i="58" s="1"/>
  <c r="AF28" i="58" s="1"/>
  <c r="R44" i="58"/>
  <c r="X44" i="58" s="1"/>
  <c r="AF44" i="58" s="1"/>
  <c r="M54" i="58"/>
  <c r="M114" i="58" s="1"/>
  <c r="P12" i="58"/>
  <c r="P18" i="58"/>
  <c r="P20" i="58"/>
  <c r="R20" i="58" s="1"/>
  <c r="X20" i="58" s="1"/>
  <c r="AF20" i="58" s="1"/>
  <c r="R22" i="58"/>
  <c r="X22" i="58" s="1"/>
  <c r="P24" i="58"/>
  <c r="R24" i="58" s="1"/>
  <c r="X24" i="58" s="1"/>
  <c r="AF24" i="58" s="1"/>
  <c r="R26" i="58"/>
  <c r="X26" i="58" s="1"/>
  <c r="AF26" i="58" s="1"/>
  <c r="P28" i="58"/>
  <c r="R30" i="58"/>
  <c r="X30" i="58" s="1"/>
  <c r="AF30" i="58" s="1"/>
  <c r="P32" i="58"/>
  <c r="R32" i="58" s="1"/>
  <c r="X32" i="58" s="1"/>
  <c r="AF32" i="58" s="1"/>
  <c r="R34" i="58"/>
  <c r="X34" i="58" s="1"/>
  <c r="AF34" i="58" s="1"/>
  <c r="P36" i="58"/>
  <c r="R36" i="58" s="1"/>
  <c r="X36" i="58" s="1"/>
  <c r="AF36" i="58" s="1"/>
  <c r="R38" i="58"/>
  <c r="X38" i="58" s="1"/>
  <c r="AF38" i="58" s="1"/>
  <c r="P40" i="58"/>
  <c r="R40" i="58" s="1"/>
  <c r="X40" i="58" s="1"/>
  <c r="AF40" i="58" s="1"/>
  <c r="R42" i="58"/>
  <c r="X42" i="58" s="1"/>
  <c r="AF42" i="58" s="1"/>
  <c r="P44" i="58"/>
  <c r="R46" i="58"/>
  <c r="X46" i="58" s="1"/>
  <c r="AF46" i="58" s="1"/>
  <c r="P48" i="58"/>
  <c r="R48" i="58" s="1"/>
  <c r="X48" i="58" s="1"/>
  <c r="AF48" i="58" s="1"/>
  <c r="R50" i="58"/>
  <c r="X50" i="58" s="1"/>
  <c r="AF50" i="58" s="1"/>
  <c r="P52" i="58"/>
  <c r="R52" i="58" s="1"/>
  <c r="X52" i="58" s="1"/>
  <c r="AF52" i="58" s="1"/>
  <c r="R69" i="58"/>
  <c r="X69" i="58" s="1"/>
  <c r="AF69" i="58" s="1"/>
  <c r="P71" i="58"/>
  <c r="M112" i="58"/>
  <c r="J87" i="58"/>
  <c r="R87" i="58" s="1"/>
  <c r="X87" i="58" s="1"/>
  <c r="AF87" i="58" s="1"/>
  <c r="R90" i="58"/>
  <c r="X90" i="58" s="1"/>
  <c r="AF90" i="58" s="1"/>
  <c r="J103" i="58"/>
  <c r="R103" i="58" s="1"/>
  <c r="X103" i="58" s="1"/>
  <c r="AF103" i="58" s="1"/>
  <c r="R106" i="58"/>
  <c r="X106" i="58" s="1"/>
  <c r="AF106" i="58" s="1"/>
  <c r="I54" i="58"/>
  <c r="I114" i="58" s="1"/>
  <c r="F114" i="58"/>
  <c r="I82" i="58"/>
  <c r="R67" i="58"/>
  <c r="X67" i="58" s="1"/>
  <c r="AF67" i="58" s="1"/>
  <c r="P69" i="58"/>
  <c r="R71" i="58"/>
  <c r="X71" i="58" s="1"/>
  <c r="AF71" i="58" s="1"/>
  <c r="J82" i="58"/>
  <c r="G112" i="58"/>
  <c r="J85" i="58"/>
  <c r="J89" i="58"/>
  <c r="R89" i="58" s="1"/>
  <c r="X89" i="58" s="1"/>
  <c r="AF89" i="58" s="1"/>
  <c r="J93" i="58"/>
  <c r="R93" i="58" s="1"/>
  <c r="X93" i="58" s="1"/>
  <c r="AF93" i="58" s="1"/>
  <c r="J97" i="58"/>
  <c r="R97" i="58" s="1"/>
  <c r="X97" i="58" s="1"/>
  <c r="AF97" i="58" s="1"/>
  <c r="J101" i="58"/>
  <c r="R101" i="58" s="1"/>
  <c r="X101" i="58" s="1"/>
  <c r="AF101" i="58" s="1"/>
  <c r="J105" i="58"/>
  <c r="R105" i="58" s="1"/>
  <c r="X105" i="58" s="1"/>
  <c r="AF105" i="58" s="1"/>
  <c r="J109" i="58"/>
  <c r="R109" i="58" s="1"/>
  <c r="N114" i="58"/>
  <c r="P60" i="58"/>
  <c r="R60" i="58" s="1"/>
  <c r="R62" i="58"/>
  <c r="X62" i="58" s="1"/>
  <c r="AF62" i="58" s="1"/>
  <c r="P74" i="58"/>
  <c r="R76" i="58"/>
  <c r="X76" i="58" s="1"/>
  <c r="AF76" i="58" s="1"/>
  <c r="P78" i="58"/>
  <c r="P110" i="58"/>
  <c r="P112" i="58" s="1"/>
  <c r="X60" i="58" l="1"/>
  <c r="AF60" i="58" s="1"/>
  <c r="R82" i="58"/>
  <c r="R110" i="58"/>
  <c r="X110" i="58" s="1"/>
  <c r="AF110" i="58" s="1"/>
  <c r="R85" i="58"/>
  <c r="J112" i="58"/>
  <c r="P82" i="58"/>
  <c r="AF59" i="58"/>
  <c r="AF82" i="58" s="1"/>
  <c r="X82" i="58"/>
  <c r="X119" i="58"/>
  <c r="P54" i="58"/>
  <c r="P114" i="58" s="1"/>
  <c r="X117" i="58"/>
  <c r="AF22" i="58"/>
  <c r="AF117" i="58" s="1"/>
  <c r="J54" i="58"/>
  <c r="J114" i="58" s="1"/>
  <c r="R12" i="58"/>
  <c r="AF119" i="58"/>
  <c r="R112" i="58" l="1"/>
  <c r="X85" i="58"/>
  <c r="R54" i="58"/>
  <c r="X12" i="58"/>
  <c r="X54" i="58" l="1"/>
  <c r="X120" i="58"/>
  <c r="X122" i="58" s="1"/>
  <c r="X124" i="58" s="1"/>
  <c r="AF12" i="58"/>
  <c r="AF85" i="58"/>
  <c r="AF112" i="58" s="1"/>
  <c r="X112" i="58"/>
  <c r="R114" i="58"/>
  <c r="AF120" i="58" l="1"/>
  <c r="AF122" i="58" s="1"/>
  <c r="AF124" i="58" s="1"/>
  <c r="AF54" i="58"/>
  <c r="AF114" i="58" s="1"/>
  <c r="X114" i="58"/>
  <c r="K94" i="52" l="1"/>
  <c r="H66" i="52"/>
  <c r="K15" i="52" l="1"/>
  <c r="J57" i="52" l="1"/>
  <c r="K57" i="52" l="1"/>
  <c r="H16" i="27"/>
  <c r="H17" i="27"/>
  <c r="I17" i="27"/>
  <c r="H18" i="27"/>
  <c r="H19" i="27"/>
  <c r="H20" i="27"/>
  <c r="H21" i="27"/>
  <c r="H22" i="27"/>
  <c r="H23" i="27"/>
  <c r="H24" i="27"/>
  <c r="H25" i="27"/>
  <c r="H26" i="27"/>
  <c r="H27" i="27"/>
  <c r="F17" i="27"/>
  <c r="F18" i="27" s="1"/>
  <c r="F19" i="27" s="1"/>
  <c r="F20" i="27" s="1"/>
  <c r="F21" i="27" s="1"/>
  <c r="F22" i="27" s="1"/>
  <c r="F23" i="27" s="1"/>
  <c r="F24" i="27" s="1"/>
  <c r="F25" i="27" s="1"/>
  <c r="F26" i="27" s="1"/>
  <c r="F27" i="27" s="1"/>
  <c r="H29" i="27"/>
  <c r="E78" i="28" l="1"/>
  <c r="I18" i="27"/>
  <c r="I19" i="27" l="1"/>
  <c r="I20" i="27" l="1"/>
  <c r="I21" i="27" l="1"/>
  <c r="I22" i="27" l="1"/>
  <c r="I23" i="27" l="1"/>
  <c r="I24" i="27" l="1"/>
  <c r="I25" i="27" l="1"/>
  <c r="I26" i="27" l="1"/>
  <c r="I27" i="27" l="1"/>
  <c r="E37" i="57" l="1"/>
  <c r="G13" i="56" l="1"/>
  <c r="F115" i="5" l="1"/>
  <c r="E63" i="30" l="1"/>
  <c r="C65" i="30" l="1"/>
  <c r="D95" i="33" l="1"/>
  <c r="F112" i="5" l="1"/>
  <c r="F113" i="5"/>
  <c r="F114" i="5"/>
  <c r="E3" i="7" l="1"/>
  <c r="G95" i="33" l="1"/>
  <c r="E68" i="21"/>
  <c r="C27" i="33" l="1"/>
  <c r="F100" i="5" l="1"/>
  <c r="D118" i="5" l="1"/>
  <c r="E118" i="5"/>
  <c r="B69" i="33" l="1"/>
  <c r="D75" i="30"/>
  <c r="G74" i="30"/>
  <c r="P41" i="33" l="1"/>
  <c r="Q41" i="33" s="1"/>
  <c r="P16" i="33"/>
  <c r="Q16" i="33" s="1"/>
  <c r="T16" i="33" s="1"/>
  <c r="A1" i="57" l="1"/>
  <c r="D94" i="33" l="1"/>
  <c r="G94" i="33" s="1"/>
  <c r="K95" i="52" l="1"/>
  <c r="K91" i="52"/>
  <c r="K90" i="52"/>
  <c r="K89" i="52"/>
  <c r="K81" i="52"/>
  <c r="K80" i="52"/>
  <c r="K79" i="52"/>
  <c r="K78" i="52"/>
  <c r="K76" i="52"/>
  <c r="K75" i="52"/>
  <c r="K74" i="52"/>
  <c r="K73" i="52"/>
  <c r="K72" i="52"/>
  <c r="K71" i="52"/>
  <c r="K70" i="52"/>
  <c r="K69" i="52"/>
  <c r="K61" i="52"/>
  <c r="K60" i="52"/>
  <c r="K59" i="52"/>
  <c r="K58" i="52"/>
  <c r="K56" i="52"/>
  <c r="K55" i="52"/>
  <c r="K54" i="52"/>
  <c r="K51" i="52"/>
  <c r="K50" i="52"/>
  <c r="K49" i="52"/>
  <c r="K48" i="52"/>
  <c r="K47" i="52"/>
  <c r="K46" i="52"/>
  <c r="K45" i="52"/>
  <c r="K44" i="52"/>
  <c r="K37" i="52"/>
  <c r="K36" i="52"/>
  <c r="K35" i="52"/>
  <c r="K34" i="52"/>
  <c r="K33" i="52"/>
  <c r="K32" i="52"/>
  <c r="K31" i="52"/>
  <c r="K30" i="52"/>
  <c r="K29" i="52"/>
  <c r="K28" i="52"/>
  <c r="K27" i="52"/>
  <c r="K26" i="52"/>
  <c r="K22" i="52"/>
  <c r="K21" i="52"/>
  <c r="K20" i="52"/>
  <c r="K19" i="52"/>
  <c r="K18" i="52"/>
  <c r="K17" i="52"/>
  <c r="K16" i="52"/>
  <c r="K62" i="52" l="1"/>
  <c r="J61" i="52"/>
  <c r="J60" i="52"/>
  <c r="J59" i="52"/>
  <c r="J58" i="52"/>
  <c r="J56" i="52"/>
  <c r="J55" i="52"/>
  <c r="J54" i="52"/>
  <c r="I66" i="52" l="1"/>
  <c r="I62" i="52"/>
  <c r="H62" i="52"/>
  <c r="H121" i="52" l="1"/>
  <c r="G111" i="52"/>
  <c r="H124" i="52" s="1"/>
  <c r="F101" i="52"/>
  <c r="A108" i="52"/>
  <c r="A109" i="52" s="1"/>
  <c r="A110" i="52" s="1"/>
  <c r="A111" i="52" s="1"/>
  <c r="A112" i="52" s="1"/>
  <c r="A113" i="52" s="1"/>
  <c r="A114" i="52" s="1"/>
  <c r="A115" i="52" l="1"/>
  <c r="A118" i="52" s="1"/>
  <c r="A121" i="52" s="1"/>
  <c r="A122" i="52" s="1"/>
  <c r="A123" i="52" s="1"/>
  <c r="A124" i="52" s="1"/>
  <c r="A125" i="52" s="1"/>
  <c r="A126" i="52" s="1"/>
  <c r="A127" i="52" s="1"/>
  <c r="A128" i="52" s="1"/>
  <c r="A129" i="52" s="1"/>
  <c r="A130" i="52" s="1"/>
  <c r="A131" i="52" s="1"/>
  <c r="A132" i="52" s="1"/>
  <c r="A133" i="52" s="1"/>
  <c r="A134" i="52" s="1"/>
  <c r="A135" i="52" s="1"/>
  <c r="J64" i="52" l="1"/>
  <c r="A44" i="52" l="1"/>
  <c r="A45" i="52" s="1"/>
  <c r="A46" i="52" s="1"/>
  <c r="A47" i="52" s="1"/>
  <c r="A48" i="52" s="1"/>
  <c r="A49" i="52" s="1"/>
  <c r="A50" i="52" s="1"/>
  <c r="A51" i="52" s="1"/>
  <c r="A52" i="52" s="1"/>
  <c r="A54" i="52" s="1"/>
  <c r="A55" i="52" s="1"/>
  <c r="A14" i="52"/>
  <c r="A15" i="52" s="1"/>
  <c r="A16" i="52" s="1"/>
  <c r="A17" i="52" s="1"/>
  <c r="A18" i="52" s="1"/>
  <c r="A19" i="52" s="1"/>
  <c r="A20" i="52" s="1"/>
  <c r="A21" i="52" s="1"/>
  <c r="A22" i="52" s="1"/>
  <c r="A23" i="52" s="1"/>
  <c r="A25" i="52" s="1"/>
  <c r="A26" i="52" s="1"/>
  <c r="A27" i="52" s="1"/>
  <c r="A28" i="52" s="1"/>
  <c r="A29" i="52" s="1"/>
  <c r="A30" i="52" s="1"/>
  <c r="A31" i="52" s="1"/>
  <c r="A32" i="52" s="1"/>
  <c r="A33" i="52" s="1"/>
  <c r="A34" i="52" s="1"/>
  <c r="A35" i="52" s="1"/>
  <c r="A36" i="52" s="1"/>
  <c r="A37" i="52" s="1"/>
  <c r="A38" i="52" s="1"/>
  <c r="A56" i="52" l="1"/>
  <c r="I52" i="52"/>
  <c r="H52" i="52"/>
  <c r="A57" i="52" l="1"/>
  <c r="A58" i="52" s="1"/>
  <c r="A59" i="52" s="1"/>
  <c r="A60" i="52" s="1"/>
  <c r="A61" i="52" s="1"/>
  <c r="J70" i="52"/>
  <c r="J71" i="52"/>
  <c r="J72" i="52"/>
  <c r="J73" i="52"/>
  <c r="J74" i="52"/>
  <c r="J75" i="52"/>
  <c r="J76" i="52"/>
  <c r="J51" i="52"/>
  <c r="J50" i="52"/>
  <c r="J49" i="52"/>
  <c r="J48" i="52"/>
  <c r="J47" i="52"/>
  <c r="J46" i="52"/>
  <c r="J45" i="52"/>
  <c r="A62" i="52" l="1"/>
  <c r="A64" i="52" s="1"/>
  <c r="A65" i="52" s="1"/>
  <c r="A66"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J62" i="52"/>
  <c r="K52" i="52"/>
  <c r="L12" i="6" l="1"/>
  <c r="D131" i="1" s="1"/>
  <c r="D112" i="52"/>
  <c r="D111" i="52"/>
  <c r="K12" i="6"/>
  <c r="D130" i="1" s="1"/>
  <c r="E52" i="57" l="1"/>
  <c r="J21" i="6" s="1"/>
  <c r="E47" i="57"/>
  <c r="F21" i="6" s="1"/>
  <c r="F91" i="5" l="1"/>
  <c r="F111" i="5"/>
  <c r="F109" i="5"/>
  <c r="F107" i="5"/>
  <c r="F105" i="5"/>
  <c r="F103" i="5"/>
  <c r="F102" i="5"/>
  <c r="F101" i="5"/>
  <c r="F99" i="5"/>
  <c r="F93" i="5"/>
  <c r="A40" i="57" l="1"/>
  <c r="A41" i="57" s="1"/>
  <c r="H21" i="6" l="1"/>
  <c r="E28" i="57"/>
  <c r="I21" i="6" s="1"/>
  <c r="E20" i="57"/>
  <c r="E21" i="6" s="1"/>
  <c r="E12" i="57"/>
  <c r="G21" i="6" s="1"/>
  <c r="E30" i="57" l="1"/>
  <c r="E39" i="57" l="1"/>
  <c r="E41" i="57" s="1"/>
  <c r="D117" i="1"/>
  <c r="D116" i="1"/>
  <c r="D115" i="1"/>
  <c r="P38" i="56"/>
  <c r="J35" i="6" s="1"/>
  <c r="O43" i="56" l="1"/>
  <c r="N43" i="56"/>
  <c r="M43" i="56"/>
  <c r="L43" i="56"/>
  <c r="K43" i="56"/>
  <c r="J43" i="56"/>
  <c r="I43" i="56"/>
  <c r="H43" i="56"/>
  <c r="G43" i="56"/>
  <c r="F43" i="56"/>
  <c r="E43" i="56"/>
  <c r="D43" i="56"/>
  <c r="C43" i="56"/>
  <c r="O42" i="56"/>
  <c r="N42" i="56"/>
  <c r="N44" i="56" s="1"/>
  <c r="M42" i="56"/>
  <c r="M44" i="56" s="1"/>
  <c r="L42" i="56"/>
  <c r="K42" i="56"/>
  <c r="J42" i="56"/>
  <c r="J44" i="56" s="1"/>
  <c r="I42" i="56"/>
  <c r="I44" i="56" s="1"/>
  <c r="H42" i="56"/>
  <c r="G42" i="56"/>
  <c r="F42" i="56"/>
  <c r="F44" i="56" s="1"/>
  <c r="E42" i="56"/>
  <c r="E44" i="56" s="1"/>
  <c r="D42" i="56"/>
  <c r="C42" i="56"/>
  <c r="P41" i="56"/>
  <c r="J36" i="6" s="1"/>
  <c r="P40" i="56"/>
  <c r="P39" i="56"/>
  <c r="P37" i="56"/>
  <c r="P36" i="56"/>
  <c r="P35" i="56"/>
  <c r="P34" i="56"/>
  <c r="P33" i="56"/>
  <c r="P32" i="56"/>
  <c r="P31" i="56"/>
  <c r="P30" i="56"/>
  <c r="P29" i="56"/>
  <c r="P43" i="56" s="1"/>
  <c r="J34" i="6" s="1"/>
  <c r="F43" i="6" s="1"/>
  <c r="P28" i="56"/>
  <c r="O22" i="56"/>
  <c r="N22" i="56"/>
  <c r="M22" i="56"/>
  <c r="L22" i="56"/>
  <c r="K22" i="56"/>
  <c r="J22" i="56"/>
  <c r="I22" i="56"/>
  <c r="H22" i="56"/>
  <c r="G22" i="56"/>
  <c r="F22" i="56"/>
  <c r="E22" i="56"/>
  <c r="D22" i="56"/>
  <c r="C22" i="56"/>
  <c r="P21" i="56"/>
  <c r="P20" i="56"/>
  <c r="P19" i="56"/>
  <c r="P18" i="56"/>
  <c r="J29" i="6"/>
  <c r="A7" i="56"/>
  <c r="A8" i="56" s="1"/>
  <c r="A9" i="56" s="1"/>
  <c r="A10" i="56" s="1"/>
  <c r="A11" i="56" s="1"/>
  <c r="A12" i="56" s="1"/>
  <c r="A13" i="56" s="1"/>
  <c r="A18" i="56" s="1"/>
  <c r="A19" i="56" s="1"/>
  <c r="A20" i="56" s="1"/>
  <c r="A21" i="56" s="1"/>
  <c r="A22" i="56" s="1"/>
  <c r="A28" i="56" s="1"/>
  <c r="A29" i="56" s="1"/>
  <c r="A30" i="56" s="1"/>
  <c r="A31" i="56" s="1"/>
  <c r="A32" i="56" s="1"/>
  <c r="A33" i="56" s="1"/>
  <c r="A34" i="56" s="1"/>
  <c r="A35" i="56" s="1"/>
  <c r="A36" i="56" s="1"/>
  <c r="A37" i="56" s="1"/>
  <c r="A38" i="56" s="1"/>
  <c r="A39" i="56" s="1"/>
  <c r="A40" i="56" s="1"/>
  <c r="A41" i="56" s="1"/>
  <c r="A42" i="56" s="1"/>
  <c r="D44" i="56" l="1"/>
  <c r="H44" i="56"/>
  <c r="L44" i="56"/>
  <c r="P22" i="56"/>
  <c r="F42" i="6" s="1"/>
  <c r="I42" i="6" s="1"/>
  <c r="P42" i="56"/>
  <c r="G44" i="56"/>
  <c r="K44" i="56"/>
  <c r="O44" i="56"/>
  <c r="C44" i="56"/>
  <c r="P44" i="56" l="1"/>
  <c r="J33" i="6"/>
  <c r="A8" i="54" l="1"/>
  <c r="A10" i="54" s="1"/>
  <c r="A11" i="54" s="1"/>
  <c r="A12" i="54" s="1"/>
  <c r="A14" i="54" s="1"/>
  <c r="A15" i="54" s="1"/>
  <c r="A16" i="54" s="1"/>
  <c r="A18" i="54" s="1"/>
  <c r="A20" i="54" s="1"/>
  <c r="A22" i="54" s="1"/>
  <c r="A23" i="54" s="1"/>
  <c r="A24" i="54" s="1"/>
  <c r="A29" i="54" s="1"/>
  <c r="A30" i="54" s="1"/>
  <c r="A32" i="54" s="1"/>
  <c r="A33" i="54" s="1"/>
  <c r="A34" i="54" s="1"/>
  <c r="A36" i="54" s="1"/>
  <c r="A37" i="54" s="1"/>
  <c r="A38" i="54" s="1"/>
  <c r="A40" i="54" s="1"/>
  <c r="A42" i="54" s="1"/>
  <c r="A44" i="54" s="1"/>
  <c r="A45" i="54" s="1"/>
  <c r="A46" i="54" s="1"/>
  <c r="J65" i="52" l="1"/>
  <c r="J66" i="52" s="1"/>
  <c r="J44" i="52"/>
  <c r="J52" i="52" s="1"/>
  <c r="J95" i="52"/>
  <c r="J94" i="52"/>
  <c r="J93" i="52"/>
  <c r="J92" i="52"/>
  <c r="J91" i="52"/>
  <c r="J90" i="52"/>
  <c r="J89" i="52"/>
  <c r="J88" i="52"/>
  <c r="J87" i="52"/>
  <c r="J86" i="52"/>
  <c r="J85" i="52"/>
  <c r="J84" i="52"/>
  <c r="J83" i="52"/>
  <c r="J82" i="52"/>
  <c r="J81" i="52"/>
  <c r="J80" i="52"/>
  <c r="J79" i="52"/>
  <c r="J78" i="52"/>
  <c r="J77" i="52"/>
  <c r="J69" i="52"/>
  <c r="K96" i="52"/>
  <c r="H96" i="52"/>
  <c r="D110" i="52" l="1"/>
  <c r="F110" i="52" s="1"/>
  <c r="K110" i="52" s="1"/>
  <c r="J12" i="6"/>
  <c r="J96" i="52"/>
  <c r="I96" i="52"/>
  <c r="F123" i="52" l="1"/>
  <c r="G89" i="30"/>
  <c r="F89" i="30"/>
  <c r="C89" i="30"/>
  <c r="F78" i="30"/>
  <c r="G65" i="30"/>
  <c r="F62" i="30"/>
  <c r="F65" i="30" s="1"/>
  <c r="D61" i="30"/>
  <c r="D87" i="30" l="1"/>
  <c r="E86" i="30"/>
  <c r="D13" i="30" s="1"/>
  <c r="D85" i="30"/>
  <c r="E84" i="30"/>
  <c r="D83" i="30"/>
  <c r="G78" i="30"/>
  <c r="D72" i="30"/>
  <c r="B68" i="33"/>
  <c r="B67" i="33"/>
  <c r="B66" i="33"/>
  <c r="B65" i="33"/>
  <c r="B64" i="33"/>
  <c r="B63" i="33"/>
  <c r="B62" i="33"/>
  <c r="E24" i="5"/>
  <c r="D24" i="5"/>
  <c r="C24" i="5"/>
  <c r="D89" i="30" l="1"/>
  <c r="E89" i="30"/>
  <c r="D36" i="54" l="1"/>
  <c r="E36" i="54" s="1"/>
  <c r="D32" i="54"/>
  <c r="D30" i="54"/>
  <c r="E30" i="54" s="1"/>
  <c r="F30" i="54" s="1"/>
  <c r="G30" i="54" s="1"/>
  <c r="H30" i="54" s="1"/>
  <c r="I30" i="54" s="1"/>
  <c r="J30" i="54" s="1"/>
  <c r="K30" i="54" s="1"/>
  <c r="L30" i="54" s="1"/>
  <c r="M30" i="54" s="1"/>
  <c r="N30" i="54" s="1"/>
  <c r="P14" i="54"/>
  <c r="P10" i="54"/>
  <c r="P8" i="54"/>
  <c r="O30" i="54" l="1"/>
  <c r="P30" i="54" s="1"/>
  <c r="E32" i="54"/>
  <c r="F32" i="54" s="1"/>
  <c r="G32" i="54" s="1"/>
  <c r="F36" i="54"/>
  <c r="G36" i="54" l="1"/>
  <c r="H32" i="54"/>
  <c r="H36" i="54" l="1"/>
  <c r="I32" i="54"/>
  <c r="I36" i="54" l="1"/>
  <c r="J32" i="54"/>
  <c r="J36" i="54" l="1"/>
  <c r="K32" i="54"/>
  <c r="K36" i="54" l="1"/>
  <c r="L32" i="54"/>
  <c r="L36" i="54" l="1"/>
  <c r="M32" i="54"/>
  <c r="M36" i="54" l="1"/>
  <c r="N32" i="54"/>
  <c r="O32" i="54" s="1"/>
  <c r="P32" i="54" s="1"/>
  <c r="N36" i="54" l="1"/>
  <c r="O36" i="54" s="1"/>
  <c r="P36" i="54" s="1"/>
  <c r="D45" i="54" l="1"/>
  <c r="E45" i="54" s="1"/>
  <c r="F45" i="54" s="1"/>
  <c r="G45" i="54" s="1"/>
  <c r="H45" i="54" s="1"/>
  <c r="I45" i="54" s="1"/>
  <c r="J45" i="54" s="1"/>
  <c r="K45" i="54" s="1"/>
  <c r="L45" i="54" s="1"/>
  <c r="M45" i="54" s="1"/>
  <c r="N45" i="54" s="1"/>
  <c r="O45" i="54" s="1"/>
  <c r="P45" i="54" s="1"/>
  <c r="D44" i="54"/>
  <c r="E44" i="54" s="1"/>
  <c r="D42" i="54"/>
  <c r="E42" i="54" s="1"/>
  <c r="C46" i="54"/>
  <c r="B3" i="55"/>
  <c r="D24" i="54"/>
  <c r="E24" i="54"/>
  <c r="F24" i="54"/>
  <c r="G24" i="54"/>
  <c r="H24" i="54"/>
  <c r="I24" i="54"/>
  <c r="J24" i="54"/>
  <c r="K24" i="54"/>
  <c r="L24" i="54"/>
  <c r="M24" i="54"/>
  <c r="N24" i="54"/>
  <c r="O24" i="54"/>
  <c r="P23" i="54"/>
  <c r="P22" i="54"/>
  <c r="P20" i="54"/>
  <c r="I44" i="6"/>
  <c r="D46" i="54" l="1"/>
  <c r="E46" i="54"/>
  <c r="F44" i="54"/>
  <c r="F42" i="54"/>
  <c r="G42" i="54" s="1"/>
  <c r="H42" i="54" s="1"/>
  <c r="I42" i="54" s="1"/>
  <c r="J42" i="54" s="1"/>
  <c r="K42" i="54" s="1"/>
  <c r="L42" i="54" s="1"/>
  <c r="M42" i="54" s="1"/>
  <c r="N42" i="54" s="1"/>
  <c r="O42" i="54" s="1"/>
  <c r="P42" i="54" s="1"/>
  <c r="D81" i="1" s="1"/>
  <c r="P24" i="54"/>
  <c r="F46" i="54" l="1"/>
  <c r="G44" i="54"/>
  <c r="G46" i="54" l="1"/>
  <c r="H44" i="54"/>
  <c r="I44" i="54" l="1"/>
  <c r="H46" i="54"/>
  <c r="C21" i="17"/>
  <c r="D20" i="17" l="1"/>
  <c r="D19" i="17"/>
  <c r="I46" i="54"/>
  <c r="J44" i="54"/>
  <c r="F51" i="1"/>
  <c r="J46" i="54" l="1"/>
  <c r="K44" i="54"/>
  <c r="K46" i="54" l="1"/>
  <c r="L44" i="54"/>
  <c r="K23" i="52"/>
  <c r="D108" i="52" l="1"/>
  <c r="F108" i="52" s="1"/>
  <c r="H108" i="52" s="1"/>
  <c r="L108" i="52" s="1"/>
  <c r="I12" i="6"/>
  <c r="M44" i="54"/>
  <c r="L46" i="54"/>
  <c r="H23" i="52"/>
  <c r="H38" i="52"/>
  <c r="K108" i="52" l="1"/>
  <c r="M46" i="54"/>
  <c r="N44" i="54"/>
  <c r="O44" i="54" s="1"/>
  <c r="P44" i="54" s="1"/>
  <c r="F121" i="52" l="1"/>
  <c r="N46" i="54"/>
  <c r="F11" i="17"/>
  <c r="F10" i="17"/>
  <c r="C3" i="17"/>
  <c r="C41" i="7"/>
  <c r="B41" i="7"/>
  <c r="E26" i="7"/>
  <c r="F41" i="7" s="1"/>
  <c r="F42" i="7" s="1"/>
  <c r="F43" i="7" s="1"/>
  <c r="F44" i="7" s="1"/>
  <c r="F45" i="7" s="1"/>
  <c r="F46" i="7" s="1"/>
  <c r="F47" i="7" s="1"/>
  <c r="E24" i="32"/>
  <c r="D118" i="1" s="1"/>
  <c r="A11" i="32"/>
  <c r="A12" i="32" s="1"/>
  <c r="A13" i="32" s="1"/>
  <c r="A14" i="32" s="1"/>
  <c r="A15" i="32" s="1"/>
  <c r="A16" i="32" s="1"/>
  <c r="A17" i="32" s="1"/>
  <c r="A18" i="32" s="1"/>
  <c r="A19" i="32" s="1"/>
  <c r="A20" i="32" s="1"/>
  <c r="A21" i="32" s="1"/>
  <c r="A22" i="32" s="1"/>
  <c r="A23" i="32" s="1"/>
  <c r="A24" i="32" s="1"/>
  <c r="A26" i="32" s="1"/>
  <c r="A27" i="32" s="1"/>
  <c r="A28" i="32" s="1"/>
  <c r="D91" i="30"/>
  <c r="D71" i="30"/>
  <c r="D70" i="30"/>
  <c r="E60" i="30"/>
  <c r="D6" i="30" s="1"/>
  <c r="D32" i="30" s="1"/>
  <c r="E59" i="30"/>
  <c r="D58" i="30"/>
  <c r="D54" i="30"/>
  <c r="F52" i="30"/>
  <c r="F51" i="30"/>
  <c r="A7" i="30"/>
  <c r="A8" i="30" s="1"/>
  <c r="A12" i="30" s="1"/>
  <c r="A13" i="30" s="1"/>
  <c r="A14" i="30" s="1"/>
  <c r="A15" i="30" s="1"/>
  <c r="A16" i="30" s="1"/>
  <c r="A17" i="30" s="1"/>
  <c r="A18" i="30" s="1"/>
  <c r="A19" i="30" s="1"/>
  <c r="A20" i="30" s="1"/>
  <c r="A22" i="30" s="1"/>
  <c r="A23" i="30" s="1"/>
  <c r="A24" i="30" s="1"/>
  <c r="C14" i="1" s="1"/>
  <c r="G205" i="1"/>
  <c r="H14" i="16" s="1"/>
  <c r="J37" i="6"/>
  <c r="F44" i="6" s="1"/>
  <c r="G203" i="1"/>
  <c r="H12" i="16" s="1"/>
  <c r="A29" i="6"/>
  <c r="A31" i="6" s="1"/>
  <c r="A33" i="6" s="1"/>
  <c r="A34" i="6" s="1"/>
  <c r="A35" i="6" s="1"/>
  <c r="A36" i="6" s="1"/>
  <c r="A37" i="6" s="1"/>
  <c r="A42" i="6" s="1"/>
  <c r="A43" i="6" s="1"/>
  <c r="A44" i="6" s="1"/>
  <c r="A45" i="6" s="1"/>
  <c r="D145" i="1"/>
  <c r="D143" i="1"/>
  <c r="H12" i="6"/>
  <c r="D121" i="1" s="1"/>
  <c r="I117" i="1"/>
  <c r="G3" i="6"/>
  <c r="G25" i="6" s="1"/>
  <c r="D85" i="49"/>
  <c r="C85" i="49"/>
  <c r="D84" i="49"/>
  <c r="C84" i="49"/>
  <c r="D83" i="49"/>
  <c r="C83" i="49"/>
  <c r="D82" i="49"/>
  <c r="C82" i="49"/>
  <c r="D81" i="49"/>
  <c r="C81" i="49"/>
  <c r="D80" i="49"/>
  <c r="C80" i="49"/>
  <c r="D79" i="49"/>
  <c r="C79" i="49"/>
  <c r="D78" i="49"/>
  <c r="C78" i="49"/>
  <c r="D77" i="49"/>
  <c r="D76" i="49"/>
  <c r="D75" i="49"/>
  <c r="C75" i="49"/>
  <c r="D74" i="49"/>
  <c r="C74" i="49"/>
  <c r="G69" i="49"/>
  <c r="F69" i="49"/>
  <c r="E69" i="49"/>
  <c r="D69" i="49"/>
  <c r="C69" i="49"/>
  <c r="G68" i="49"/>
  <c r="F68" i="49"/>
  <c r="E68" i="49"/>
  <c r="D68" i="49"/>
  <c r="C68" i="49"/>
  <c r="G67" i="49"/>
  <c r="F67" i="49"/>
  <c r="E67" i="49"/>
  <c r="D67" i="49"/>
  <c r="C67" i="49"/>
  <c r="G66" i="49"/>
  <c r="F66" i="49"/>
  <c r="E66" i="49"/>
  <c r="D66" i="49"/>
  <c r="C66" i="49"/>
  <c r="G65" i="49"/>
  <c r="F65" i="49"/>
  <c r="E65" i="49"/>
  <c r="D65" i="49"/>
  <c r="C65" i="49"/>
  <c r="G64" i="49"/>
  <c r="F64" i="49"/>
  <c r="E64" i="49"/>
  <c r="D64" i="49"/>
  <c r="C64" i="49"/>
  <c r="G63" i="49"/>
  <c r="F63" i="49"/>
  <c r="E63" i="49"/>
  <c r="D63" i="49"/>
  <c r="C63" i="49"/>
  <c r="G62" i="49"/>
  <c r="F62" i="49"/>
  <c r="E62" i="49"/>
  <c r="D62" i="49"/>
  <c r="C62" i="49"/>
  <c r="G61" i="49"/>
  <c r="F61" i="49"/>
  <c r="E61" i="49"/>
  <c r="D61" i="49"/>
  <c r="C61" i="49"/>
  <c r="G60" i="49"/>
  <c r="F60" i="49"/>
  <c r="E60" i="49"/>
  <c r="D60" i="49"/>
  <c r="G59" i="49"/>
  <c r="F59" i="49"/>
  <c r="E59" i="49"/>
  <c r="D59" i="49"/>
  <c r="C59" i="49"/>
  <c r="G58" i="49"/>
  <c r="F58" i="49"/>
  <c r="E58" i="49"/>
  <c r="D58" i="49"/>
  <c r="C58" i="49"/>
  <c r="G57" i="49"/>
  <c r="F57" i="49"/>
  <c r="E57" i="49"/>
  <c r="D57" i="49"/>
  <c r="C57" i="49"/>
  <c r="A54" i="49"/>
  <c r="D51" i="49"/>
  <c r="H50" i="49"/>
  <c r="H49" i="49"/>
  <c r="H48" i="49"/>
  <c r="H47" i="49"/>
  <c r="H46" i="49"/>
  <c r="H45" i="49"/>
  <c r="H44" i="49"/>
  <c r="H43" i="49"/>
  <c r="H42" i="49"/>
  <c r="H41" i="49"/>
  <c r="C77" i="49"/>
  <c r="H40" i="49"/>
  <c r="H39" i="49"/>
  <c r="H38" i="49"/>
  <c r="D34" i="49"/>
  <c r="H33" i="49"/>
  <c r="H32" i="49"/>
  <c r="H31" i="49"/>
  <c r="H30" i="49"/>
  <c r="H29" i="49"/>
  <c r="H28" i="49"/>
  <c r="H27" i="49"/>
  <c r="H26" i="49"/>
  <c r="H25" i="49"/>
  <c r="H24" i="49"/>
  <c r="H23" i="49"/>
  <c r="H22" i="49"/>
  <c r="H21" i="49"/>
  <c r="D20" i="49"/>
  <c r="D37" i="49" s="1"/>
  <c r="D56" i="49" s="1"/>
  <c r="D73" i="49" s="1"/>
  <c r="C20" i="49"/>
  <c r="C37" i="49" s="1"/>
  <c r="C56" i="49" s="1"/>
  <c r="C73" i="49" s="1"/>
  <c r="C17" i="49"/>
  <c r="H16" i="49"/>
  <c r="H15" i="49"/>
  <c r="H14" i="49"/>
  <c r="H13" i="49"/>
  <c r="H12" i="49"/>
  <c r="H11" i="49"/>
  <c r="H10" i="49"/>
  <c r="H8" i="49"/>
  <c r="A8" i="49"/>
  <c r="A9" i="49" s="1"/>
  <c r="A10" i="49" s="1"/>
  <c r="A11" i="49" s="1"/>
  <c r="A12" i="49" s="1"/>
  <c r="A13" i="49" s="1"/>
  <c r="A14" i="49" s="1"/>
  <c r="A15" i="49" s="1"/>
  <c r="A16" i="49" s="1"/>
  <c r="A17" i="49" s="1"/>
  <c r="A21" i="49" s="1"/>
  <c r="A22" i="49" s="1"/>
  <c r="A23" i="49" s="1"/>
  <c r="A24" i="49" s="1"/>
  <c r="A25" i="49" s="1"/>
  <c r="A26" i="49" s="1"/>
  <c r="A27" i="49" s="1"/>
  <c r="A28" i="49" s="1"/>
  <c r="A29" i="49" s="1"/>
  <c r="A30" i="49" s="1"/>
  <c r="A31" i="49" s="1"/>
  <c r="A32" i="49" s="1"/>
  <c r="A33" i="49" s="1"/>
  <c r="A34" i="49" s="1"/>
  <c r="A38" i="49" s="1"/>
  <c r="A39" i="49" s="1"/>
  <c r="A40" i="49" s="1"/>
  <c r="A41" i="49" s="1"/>
  <c r="A42" i="49" s="1"/>
  <c r="A43" i="49" s="1"/>
  <c r="A44" i="49" s="1"/>
  <c r="A45" i="49" s="1"/>
  <c r="A46" i="49" s="1"/>
  <c r="A47" i="49" s="1"/>
  <c r="A48" i="49" s="1"/>
  <c r="A49" i="49" s="1"/>
  <c r="A50" i="49" s="1"/>
  <c r="A51" i="49" s="1"/>
  <c r="A57" i="49" s="1"/>
  <c r="A58" i="49" s="1"/>
  <c r="A59" i="49" s="1"/>
  <c r="A60" i="49" s="1"/>
  <c r="A61" i="49" s="1"/>
  <c r="A62" i="49" s="1"/>
  <c r="A63" i="49" s="1"/>
  <c r="A64" i="49" s="1"/>
  <c r="A65" i="49" s="1"/>
  <c r="A66" i="49" s="1"/>
  <c r="A67" i="49" s="1"/>
  <c r="A68" i="49" s="1"/>
  <c r="A69" i="49" s="1"/>
  <c r="A70" i="49" s="1"/>
  <c r="A74" i="49" s="1"/>
  <c r="A75" i="49" s="1"/>
  <c r="A76" i="49" s="1"/>
  <c r="A77" i="49" s="1"/>
  <c r="A78" i="49" s="1"/>
  <c r="A79" i="49" s="1"/>
  <c r="A80" i="49" s="1"/>
  <c r="A81" i="49" s="1"/>
  <c r="A82" i="49" s="1"/>
  <c r="A83" i="49" s="1"/>
  <c r="A84" i="49" s="1"/>
  <c r="A85" i="49" s="1"/>
  <c r="A86" i="49" s="1"/>
  <c r="H7" i="49"/>
  <c r="C105" i="33"/>
  <c r="G104" i="33"/>
  <c r="G103" i="33"/>
  <c r="G102" i="33"/>
  <c r="G101" i="33"/>
  <c r="G100" i="33"/>
  <c r="G99" i="33"/>
  <c r="G98" i="33"/>
  <c r="G97" i="33"/>
  <c r="G96" i="33"/>
  <c r="E93" i="33"/>
  <c r="G93" i="33" s="1"/>
  <c r="E92" i="33"/>
  <c r="G92" i="33" s="1"/>
  <c r="E91" i="33"/>
  <c r="G91" i="33" s="1"/>
  <c r="E90" i="33"/>
  <c r="G90" i="33" s="1"/>
  <c r="E89" i="33"/>
  <c r="G89" i="33" s="1"/>
  <c r="D88" i="33"/>
  <c r="F87" i="33"/>
  <c r="G87" i="33" s="1"/>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T71" i="33"/>
  <c r="O71" i="33"/>
  <c r="N71" i="33"/>
  <c r="M71" i="33"/>
  <c r="L71" i="33"/>
  <c r="K71" i="33"/>
  <c r="J71" i="33"/>
  <c r="I71" i="33"/>
  <c r="H71" i="33"/>
  <c r="G71" i="33"/>
  <c r="F71" i="33"/>
  <c r="E71" i="33"/>
  <c r="D71" i="33"/>
  <c r="C71" i="33"/>
  <c r="C70" i="33"/>
  <c r="O69" i="33"/>
  <c r="N69" i="33"/>
  <c r="M69" i="33"/>
  <c r="L69" i="33"/>
  <c r="K69" i="33"/>
  <c r="J69" i="33"/>
  <c r="I69" i="33"/>
  <c r="H69" i="33"/>
  <c r="G69" i="33"/>
  <c r="F69" i="33"/>
  <c r="E69" i="33"/>
  <c r="D69" i="33"/>
  <c r="C69" i="33"/>
  <c r="O68" i="33"/>
  <c r="N68" i="33"/>
  <c r="M68" i="33"/>
  <c r="L68" i="33"/>
  <c r="K68" i="33"/>
  <c r="J68" i="33"/>
  <c r="I68" i="33"/>
  <c r="H68" i="33"/>
  <c r="G68" i="33"/>
  <c r="F68" i="33"/>
  <c r="E68" i="33"/>
  <c r="D68" i="33"/>
  <c r="C68" i="33"/>
  <c r="O67" i="33"/>
  <c r="N67" i="33"/>
  <c r="M67" i="33"/>
  <c r="L67" i="33"/>
  <c r="K67" i="33"/>
  <c r="J67" i="33"/>
  <c r="I67" i="33"/>
  <c r="H67" i="33"/>
  <c r="G67" i="33"/>
  <c r="F67" i="33"/>
  <c r="E67" i="33"/>
  <c r="D67" i="33"/>
  <c r="C67" i="33"/>
  <c r="C66" i="33"/>
  <c r="O65" i="33"/>
  <c r="N65" i="33"/>
  <c r="M65" i="33"/>
  <c r="L65" i="33"/>
  <c r="K65" i="33"/>
  <c r="J65" i="33"/>
  <c r="I65" i="33"/>
  <c r="H65" i="33"/>
  <c r="G65" i="33"/>
  <c r="F65" i="33"/>
  <c r="E65" i="33"/>
  <c r="D65" i="33"/>
  <c r="C65" i="33"/>
  <c r="O64" i="33"/>
  <c r="N64" i="33"/>
  <c r="M64" i="33"/>
  <c r="L64" i="33"/>
  <c r="K64" i="33"/>
  <c r="J64" i="33"/>
  <c r="I64" i="33"/>
  <c r="H64" i="33"/>
  <c r="G64" i="33"/>
  <c r="F64" i="33"/>
  <c r="E64" i="33"/>
  <c r="D64" i="33"/>
  <c r="C64" i="33"/>
  <c r="O63" i="33"/>
  <c r="N63" i="33"/>
  <c r="M63" i="33"/>
  <c r="L63" i="33"/>
  <c r="K63" i="33"/>
  <c r="J63" i="33"/>
  <c r="I63" i="33"/>
  <c r="H63" i="33"/>
  <c r="G63" i="33"/>
  <c r="F63" i="33"/>
  <c r="E63" i="33"/>
  <c r="D63" i="33"/>
  <c r="C63" i="33"/>
  <c r="O62" i="33"/>
  <c r="N62" i="33"/>
  <c r="M62" i="33"/>
  <c r="L62" i="33"/>
  <c r="K62" i="33"/>
  <c r="J62" i="33"/>
  <c r="I62" i="33"/>
  <c r="H62" i="33"/>
  <c r="G62" i="33"/>
  <c r="F62" i="33"/>
  <c r="E62" i="33"/>
  <c r="D62" i="33"/>
  <c r="C62" i="33"/>
  <c r="B61" i="33"/>
  <c r="R53" i="33"/>
  <c r="R81" i="33" s="1"/>
  <c r="E106" i="33" s="1"/>
  <c r="Q53" i="33"/>
  <c r="Q81" i="33" s="1"/>
  <c r="D106" i="33" s="1"/>
  <c r="C52" i="33"/>
  <c r="T51" i="33"/>
  <c r="T50" i="33"/>
  <c r="T49" i="33"/>
  <c r="T48" i="33"/>
  <c r="T47" i="33"/>
  <c r="T46" i="33"/>
  <c r="T45" i="33"/>
  <c r="T44" i="33"/>
  <c r="T43" i="33"/>
  <c r="T41" i="33"/>
  <c r="P40" i="33"/>
  <c r="R40" i="33" s="1"/>
  <c r="T40" i="33" s="1"/>
  <c r="P39" i="33"/>
  <c r="R39" i="33" s="1"/>
  <c r="T39" i="33" s="1"/>
  <c r="P37" i="33"/>
  <c r="R37" i="33" s="1"/>
  <c r="T37" i="33" s="1"/>
  <c r="P36" i="33"/>
  <c r="R36" i="33" s="1"/>
  <c r="P35" i="33"/>
  <c r="Q35" i="33" s="1"/>
  <c r="T35" i="33" s="1"/>
  <c r="P34" i="33"/>
  <c r="S34" i="33" s="1"/>
  <c r="T26" i="33"/>
  <c r="T25" i="33"/>
  <c r="T24" i="33"/>
  <c r="T23" i="33"/>
  <c r="T22" i="33"/>
  <c r="T21" i="33"/>
  <c r="T20" i="33"/>
  <c r="T19" i="33"/>
  <c r="T18" i="33"/>
  <c r="P15" i="33"/>
  <c r="R15" i="33" s="1"/>
  <c r="T15" i="33" s="1"/>
  <c r="P14" i="33"/>
  <c r="R14" i="33" s="1"/>
  <c r="T14" i="33" s="1"/>
  <c r="P12" i="33"/>
  <c r="R12" i="33" s="1"/>
  <c r="T12" i="33" s="1"/>
  <c r="P11" i="33"/>
  <c r="R11" i="33" s="1"/>
  <c r="T11" i="33" s="1"/>
  <c r="P10" i="33"/>
  <c r="Q10" i="33" s="1"/>
  <c r="A10" i="33"/>
  <c r="A11" i="33" s="1"/>
  <c r="A12" i="33" s="1"/>
  <c r="A13" i="33" s="1"/>
  <c r="A14" i="33" s="1"/>
  <c r="A15" i="33" s="1"/>
  <c r="A16" i="33" s="1"/>
  <c r="A17" i="33" s="1"/>
  <c r="A18" i="33" s="1"/>
  <c r="A19" i="33" s="1"/>
  <c r="A20" i="33" s="1"/>
  <c r="A21" i="33" s="1"/>
  <c r="A22" i="33" s="1"/>
  <c r="A23" i="33" s="1"/>
  <c r="A24" i="33" s="1"/>
  <c r="A25" i="33" s="1"/>
  <c r="A26" i="33" s="1"/>
  <c r="A27" i="33" s="1"/>
  <c r="A28" i="33" s="1"/>
  <c r="A29"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P9" i="33"/>
  <c r="S9" i="33" s="1"/>
  <c r="S27" i="33" s="1"/>
  <c r="G168" i="29"/>
  <c r="F168" i="29"/>
  <c r="F171" i="29" s="1"/>
  <c r="I83" i="27" s="1"/>
  <c r="E168" i="29"/>
  <c r="E171" i="29" s="1"/>
  <c r="D168" i="29"/>
  <c r="D171" i="29" s="1"/>
  <c r="C168" i="29"/>
  <c r="G108" i="29"/>
  <c r="G111" i="29" s="1"/>
  <c r="F108" i="29"/>
  <c r="F111" i="29" s="1"/>
  <c r="I15" i="27" s="1"/>
  <c r="E108" i="29"/>
  <c r="D108" i="29"/>
  <c r="D111" i="29" s="1"/>
  <c r="C108" i="29"/>
  <c r="G73" i="29"/>
  <c r="F73" i="29"/>
  <c r="F76" i="29" s="1"/>
  <c r="I95" i="27" s="1"/>
  <c r="E73" i="29"/>
  <c r="E76" i="29" s="1"/>
  <c r="G95" i="27" s="1"/>
  <c r="H95" i="27" s="1"/>
  <c r="D73" i="29"/>
  <c r="D76" i="29" s="1"/>
  <c r="C73" i="29"/>
  <c r="C83" i="27"/>
  <c r="C77" i="27"/>
  <c r="F57" i="27"/>
  <c r="C56" i="27"/>
  <c r="H55" i="27"/>
  <c r="H54" i="27"/>
  <c r="H53" i="27"/>
  <c r="H52" i="27"/>
  <c r="H51" i="27"/>
  <c r="H50" i="27"/>
  <c r="H49" i="27"/>
  <c r="H48" i="27"/>
  <c r="H47" i="27"/>
  <c r="H46" i="27"/>
  <c r="H45" i="27"/>
  <c r="D44" i="27"/>
  <c r="D45" i="27" s="1"/>
  <c r="D46" i="27" s="1"/>
  <c r="D47" i="27" s="1"/>
  <c r="D48" i="27" s="1"/>
  <c r="D49" i="27" s="1"/>
  <c r="D50" i="27" s="1"/>
  <c r="D51" i="27" s="1"/>
  <c r="D52" i="27" s="1"/>
  <c r="D53" i="27" s="1"/>
  <c r="D54" i="27" s="1"/>
  <c r="D55" i="27" s="1"/>
  <c r="D56" i="27" s="1"/>
  <c r="D57" i="27" s="1"/>
  <c r="C39" i="27"/>
  <c r="F34" i="27"/>
  <c r="C33" i="27"/>
  <c r="D32" i="27"/>
  <c r="D38" i="27" s="1"/>
  <c r="C27" i="27"/>
  <c r="A17" i="27"/>
  <c r="A18" i="27" s="1"/>
  <c r="A19" i="27" s="1"/>
  <c r="A20" i="27" s="1"/>
  <c r="A21" i="27" s="1"/>
  <c r="A22" i="27" s="1"/>
  <c r="A23" i="27" s="1"/>
  <c r="A24" i="27" s="1"/>
  <c r="A25" i="27" s="1"/>
  <c r="A26" i="27" s="1"/>
  <c r="A27" i="27" s="1"/>
  <c r="A28" i="27" s="1"/>
  <c r="A29" i="27" s="1"/>
  <c r="A30" i="27" s="1"/>
  <c r="A32" i="27" s="1"/>
  <c r="A33" i="27" s="1"/>
  <c r="A34" i="27" s="1"/>
  <c r="A38" i="27" s="1"/>
  <c r="A39" i="27" s="1"/>
  <c r="A40" i="27" s="1"/>
  <c r="A44" i="27" s="1"/>
  <c r="A45" i="27" s="1"/>
  <c r="A46" i="27" s="1"/>
  <c r="A47" i="27" s="1"/>
  <c r="A48" i="27" s="1"/>
  <c r="A49" i="27" s="1"/>
  <c r="A50" i="27" s="1"/>
  <c r="A51" i="27" s="1"/>
  <c r="A52" i="27" s="1"/>
  <c r="A53" i="27" s="1"/>
  <c r="A54" i="27" s="1"/>
  <c r="A55" i="27" s="1"/>
  <c r="A56" i="27" s="1"/>
  <c r="A57" i="27" s="1"/>
  <c r="A60" i="27" s="1"/>
  <c r="A76" i="27" s="1"/>
  <c r="A77" i="27" s="1"/>
  <c r="A78" i="27" s="1"/>
  <c r="A82" i="27" s="1"/>
  <c r="A83" i="27" s="1"/>
  <c r="A84" i="27" s="1"/>
  <c r="A88" i="27" s="1"/>
  <c r="A89" i="27" s="1"/>
  <c r="A90" i="27" s="1"/>
  <c r="A94" i="27" s="1"/>
  <c r="A95" i="27" s="1"/>
  <c r="A96" i="27" s="1"/>
  <c r="D16" i="27"/>
  <c r="D17" i="27" s="1"/>
  <c r="D18" i="27" s="1"/>
  <c r="D19" i="27" s="1"/>
  <c r="D20" i="27" s="1"/>
  <c r="D21" i="27" s="1"/>
  <c r="D22" i="27" s="1"/>
  <c r="D23" i="27" s="1"/>
  <c r="D24" i="27" s="1"/>
  <c r="D25" i="27" s="1"/>
  <c r="D26" i="27" s="1"/>
  <c r="D27" i="27" s="1"/>
  <c r="D28" i="27" s="1"/>
  <c r="D29" i="27" s="1"/>
  <c r="G3" i="27"/>
  <c r="G65" i="27" s="1"/>
  <c r="D71" i="5"/>
  <c r="I70" i="5"/>
  <c r="F49" i="5"/>
  <c r="J44" i="5"/>
  <c r="I44" i="5"/>
  <c r="D83" i="1" s="1"/>
  <c r="E44" i="5"/>
  <c r="D76" i="1" s="1"/>
  <c r="D44" i="5"/>
  <c r="D88" i="1" s="1"/>
  <c r="I88" i="1" s="1"/>
  <c r="C44" i="5"/>
  <c r="D87" i="1" s="1"/>
  <c r="I87" i="1" s="1"/>
  <c r="L24" i="5"/>
  <c r="E123" i="52" s="1"/>
  <c r="G123" i="52" s="1"/>
  <c r="D61" i="1" s="1"/>
  <c r="K24" i="5"/>
  <c r="E122" i="52" s="1"/>
  <c r="J24" i="5"/>
  <c r="E121" i="52" s="1"/>
  <c r="H24" i="5"/>
  <c r="D97" i="1" s="1"/>
  <c r="G24" i="5"/>
  <c r="D93" i="1" s="1"/>
  <c r="D51" i="1"/>
  <c r="D49" i="1"/>
  <c r="G3" i="5"/>
  <c r="B66" i="21"/>
  <c r="E19" i="16"/>
  <c r="E23" i="16" s="1"/>
  <c r="A9" i="16"/>
  <c r="A12" i="16" s="1"/>
  <c r="A13" i="16" s="1"/>
  <c r="A14" i="16" s="1"/>
  <c r="A15" i="16" s="1"/>
  <c r="A16" i="16" s="1"/>
  <c r="A18" i="16" s="1"/>
  <c r="A19" i="16" s="1"/>
  <c r="F5" i="16"/>
  <c r="E7" i="21" s="1"/>
  <c r="P95" i="2"/>
  <c r="I26" i="1" s="1"/>
  <c r="G56" i="2"/>
  <c r="G55" i="2"/>
  <c r="I34" i="2"/>
  <c r="L34" i="2" s="1"/>
  <c r="G7" i="2"/>
  <c r="G57" i="2" s="1"/>
  <c r="K216" i="1"/>
  <c r="G204" i="1"/>
  <c r="H13" i="16" s="1"/>
  <c r="D204" i="1"/>
  <c r="E13" i="16" s="1"/>
  <c r="D203" i="1"/>
  <c r="E12" i="16" s="1"/>
  <c r="G202" i="1"/>
  <c r="D197" i="1"/>
  <c r="G195" i="1"/>
  <c r="G193" i="1"/>
  <c r="A185" i="1"/>
  <c r="A186" i="1" s="1"/>
  <c r="A187" i="1" s="1"/>
  <c r="A189" i="1" s="1"/>
  <c r="A191" i="1" s="1"/>
  <c r="A193" i="1" s="1"/>
  <c r="A194" i="1" s="1"/>
  <c r="A195" i="1" s="1"/>
  <c r="A196" i="1" s="1"/>
  <c r="A197" i="1" s="1"/>
  <c r="K175" i="1"/>
  <c r="D152" i="1"/>
  <c r="C151" i="1"/>
  <c r="I149" i="1"/>
  <c r="D146" i="1"/>
  <c r="D144" i="1"/>
  <c r="D141" i="1"/>
  <c r="B141" i="1"/>
  <c r="D140" i="1"/>
  <c r="D135" i="1"/>
  <c r="I135" i="1" s="1"/>
  <c r="D133" i="1"/>
  <c r="D128" i="1"/>
  <c r="D120" i="1"/>
  <c r="I120" i="1" s="1"/>
  <c r="F115" i="1"/>
  <c r="F116" i="1" s="1"/>
  <c r="F117" i="1" s="1"/>
  <c r="A115" i="1"/>
  <c r="A116" i="1" s="1"/>
  <c r="A117" i="1" s="1"/>
  <c r="A118" i="1" s="1"/>
  <c r="A119" i="1" s="1"/>
  <c r="A120" i="1" s="1"/>
  <c r="A121" i="1" s="1"/>
  <c r="A122" i="1" s="1"/>
  <c r="A123" i="1" s="1"/>
  <c r="A124" i="1" s="1"/>
  <c r="A125" i="1" s="1"/>
  <c r="D114" i="1"/>
  <c r="K106" i="1"/>
  <c r="I90" i="1"/>
  <c r="I89" i="1"/>
  <c r="F89" i="1"/>
  <c r="F87" i="1"/>
  <c r="F85" i="1" s="1"/>
  <c r="F86" i="1"/>
  <c r="F149" i="1" s="1"/>
  <c r="G84" i="1"/>
  <c r="D68" i="1"/>
  <c r="I66" i="1"/>
  <c r="D66" i="1"/>
  <c r="G58" i="1"/>
  <c r="I58" i="1" s="1"/>
  <c r="F52" i="1"/>
  <c r="F61" i="1" s="1"/>
  <c r="F62" i="1" s="1"/>
  <c r="I48" i="1"/>
  <c r="D47" i="1"/>
  <c r="A47" i="1"/>
  <c r="A48" i="1" s="1"/>
  <c r="D39" i="1"/>
  <c r="D108" i="1" s="1"/>
  <c r="D177" i="1" s="1"/>
  <c r="K37" i="1"/>
  <c r="A14" i="1"/>
  <c r="A16" i="1" s="1"/>
  <c r="A18" i="1" s="1"/>
  <c r="A19" i="1" s="1"/>
  <c r="A20" i="1" s="1"/>
  <c r="A22" i="1" s="1"/>
  <c r="A23" i="1" s="1"/>
  <c r="A24" i="1" s="1"/>
  <c r="K77" i="27" l="1"/>
  <c r="K15" i="27"/>
  <c r="D105" i="33"/>
  <c r="E111" i="52" s="1"/>
  <c r="F111" i="52" s="1"/>
  <c r="H111" i="52" s="1"/>
  <c r="G121" i="52"/>
  <c r="D57" i="1" s="1"/>
  <c r="D67" i="1" s="1"/>
  <c r="E65" i="30"/>
  <c r="E67" i="30" s="1"/>
  <c r="D65" i="30"/>
  <c r="D67" i="30" s="1"/>
  <c r="F9" i="29"/>
  <c r="I77" i="27"/>
  <c r="G32" i="27"/>
  <c r="G83" i="27"/>
  <c r="H83" i="27" s="1"/>
  <c r="I32" i="27"/>
  <c r="J50" i="21"/>
  <c r="D156" i="1"/>
  <c r="P69" i="33"/>
  <c r="Q69" i="33" s="1"/>
  <c r="T69" i="33" s="1"/>
  <c r="D78" i="30"/>
  <c r="D80" i="30" s="1"/>
  <c r="C76" i="29"/>
  <c r="G76" i="29"/>
  <c r="D86" i="1"/>
  <c r="I86" i="1" s="1"/>
  <c r="I5" i="55"/>
  <c r="O46" i="54"/>
  <c r="F12" i="17"/>
  <c r="D123" i="1" s="1"/>
  <c r="H81" i="49"/>
  <c r="H83" i="49"/>
  <c r="H85" i="49"/>
  <c r="E91" i="30"/>
  <c r="G88" i="33"/>
  <c r="F54" i="30"/>
  <c r="D33" i="30" s="1"/>
  <c r="D34" i="30" s="1"/>
  <c r="D35" i="30" s="1"/>
  <c r="F45" i="6"/>
  <c r="G43" i="6" s="1"/>
  <c r="D205" i="1"/>
  <c r="E14" i="16" s="1"/>
  <c r="E15" i="16" s="1"/>
  <c r="H57" i="49"/>
  <c r="A200" i="1"/>
  <c r="A201" i="1" s="1"/>
  <c r="A202" i="1" s="1"/>
  <c r="A203" i="1" s="1"/>
  <c r="A204" i="1" s="1"/>
  <c r="A205" i="1" s="1"/>
  <c r="A206" i="1" s="1"/>
  <c r="H77" i="49"/>
  <c r="H64" i="49"/>
  <c r="H66" i="49"/>
  <c r="P63" i="33"/>
  <c r="Q63" i="33" s="1"/>
  <c r="H75" i="49"/>
  <c r="H84" i="49"/>
  <c r="H82" i="49"/>
  <c r="H79" i="49"/>
  <c r="H58" i="49"/>
  <c r="H65" i="49"/>
  <c r="D71" i="1"/>
  <c r="T36" i="33"/>
  <c r="C76" i="49"/>
  <c r="H76" i="49" s="1"/>
  <c r="H80" i="49"/>
  <c r="P64" i="33"/>
  <c r="R64" i="33" s="1"/>
  <c r="T64" i="33" s="1"/>
  <c r="P65" i="33"/>
  <c r="R65" i="33" s="1"/>
  <c r="T65" i="33" s="1"/>
  <c r="E70" i="49"/>
  <c r="H62" i="49"/>
  <c r="H74" i="49"/>
  <c r="H78" i="49"/>
  <c r="D122" i="1"/>
  <c r="P62" i="33"/>
  <c r="S62" i="33" s="1"/>
  <c r="H51" i="49"/>
  <c r="D62" i="1" s="1"/>
  <c r="F70" i="49"/>
  <c r="H59" i="49"/>
  <c r="H67" i="49"/>
  <c r="H68" i="49"/>
  <c r="D86" i="49"/>
  <c r="I68" i="1"/>
  <c r="D147" i="1"/>
  <c r="P67" i="33"/>
  <c r="R67" i="33" s="1"/>
  <c r="T67" i="33" s="1"/>
  <c r="G70" i="49"/>
  <c r="H61" i="49"/>
  <c r="C51" i="49"/>
  <c r="H69" i="49"/>
  <c r="G196" i="1"/>
  <c r="P68" i="33"/>
  <c r="R68" i="33" s="1"/>
  <c r="T68" i="33" s="1"/>
  <c r="H63" i="49"/>
  <c r="B1" i="32"/>
  <c r="B52" i="49"/>
  <c r="A1" i="49"/>
  <c r="B1" i="33"/>
  <c r="C55" i="33" s="1"/>
  <c r="D218" i="1"/>
  <c r="B23" i="16"/>
  <c r="A20" i="16"/>
  <c r="B27" i="16" s="1"/>
  <c r="A49" i="1"/>
  <c r="A127" i="1"/>
  <c r="A128" i="1" s="1"/>
  <c r="F24" i="5"/>
  <c r="D85" i="1" s="1"/>
  <c r="I85" i="1" s="1"/>
  <c r="F28" i="27"/>
  <c r="D33" i="27"/>
  <c r="D39" i="27" s="1"/>
  <c r="T34" i="33"/>
  <c r="S52" i="33"/>
  <c r="E125" i="52" s="1"/>
  <c r="F48" i="21"/>
  <c r="B128" i="28"/>
  <c r="B86" i="29"/>
  <c r="B91" i="28"/>
  <c r="B122" i="29"/>
  <c r="B2" i="29"/>
  <c r="B2" i="28"/>
  <c r="G77" i="1"/>
  <c r="G78" i="1" s="1"/>
  <c r="H34" i="49"/>
  <c r="D52" i="1" s="1"/>
  <c r="I184" i="1"/>
  <c r="F48" i="7"/>
  <c r="F49" i="7" s="1"/>
  <c r="F50" i="7" s="1"/>
  <c r="F51" i="7" s="1"/>
  <c r="F52" i="7" s="1"/>
  <c r="F53" i="7" s="1"/>
  <c r="F54" i="7" s="1"/>
  <c r="F55" i="7" s="1"/>
  <c r="F56" i="7" s="1"/>
  <c r="F57" i="7" s="1"/>
  <c r="F58" i="7" s="1"/>
  <c r="F59" i="7" s="1"/>
  <c r="F60" i="7" s="1"/>
  <c r="F61" i="7" s="1"/>
  <c r="F62" i="7" s="1"/>
  <c r="F63" i="7" s="1"/>
  <c r="F64" i="7" s="1"/>
  <c r="F65" i="7" s="1"/>
  <c r="F66" i="7" s="1"/>
  <c r="F67" i="7" s="1"/>
  <c r="D70" i="49"/>
  <c r="T10" i="33"/>
  <c r="C80" i="33"/>
  <c r="E105" i="33"/>
  <c r="C60" i="49"/>
  <c r="H60" i="49" s="1"/>
  <c r="F105" i="33"/>
  <c r="E112" i="52" s="1"/>
  <c r="F112" i="52" s="1"/>
  <c r="C34" i="49"/>
  <c r="D12" i="30"/>
  <c r="H24" i="32"/>
  <c r="T9" i="33"/>
  <c r="E11" i="29"/>
  <c r="G44" i="27"/>
  <c r="F11" i="29"/>
  <c r="I44" i="27"/>
  <c r="E10" i="29"/>
  <c r="G9" i="29"/>
  <c r="F10" i="29"/>
  <c r="D107" i="33" l="1"/>
  <c r="I121" i="52"/>
  <c r="G11" i="29"/>
  <c r="K95" i="27"/>
  <c r="C11" i="29"/>
  <c r="F95" i="27"/>
  <c r="T63" i="33"/>
  <c r="E107" i="33"/>
  <c r="K64" i="52"/>
  <c r="K66" i="52" s="1"/>
  <c r="E113" i="52"/>
  <c r="K44" i="27"/>
  <c r="P46" i="54"/>
  <c r="D82" i="1" s="1"/>
  <c r="I12" i="55"/>
  <c r="D206" i="1"/>
  <c r="G44" i="6"/>
  <c r="G42" i="6" s="1"/>
  <c r="E203" i="1" s="1"/>
  <c r="F12" i="16" s="1"/>
  <c r="J12" i="16" s="1"/>
  <c r="C86" i="49"/>
  <c r="H86" i="49" s="1"/>
  <c r="D134" i="1" s="1"/>
  <c r="C70" i="49"/>
  <c r="H70" i="49"/>
  <c r="I187" i="1"/>
  <c r="G105" i="33"/>
  <c r="G79" i="1"/>
  <c r="G80" i="1" s="1"/>
  <c r="G81" i="1" s="1"/>
  <c r="G83" i="1"/>
  <c r="I83" i="1" s="1"/>
  <c r="A129" i="1"/>
  <c r="A130" i="1" s="1"/>
  <c r="A133" i="1" s="1"/>
  <c r="A134" i="1" s="1"/>
  <c r="A135" i="1" s="1"/>
  <c r="A136" i="1" s="1"/>
  <c r="K43" i="6"/>
  <c r="I204" i="1" s="1"/>
  <c r="E204" i="1"/>
  <c r="F13" i="16" s="1"/>
  <c r="J13" i="16" s="1"/>
  <c r="A50" i="1"/>
  <c r="A21" i="16"/>
  <c r="A22" i="16" s="1"/>
  <c r="A23" i="16" s="1"/>
  <c r="D72" i="1"/>
  <c r="J24" i="32"/>
  <c r="J27" i="32" s="1"/>
  <c r="T62" i="33"/>
  <c r="S80" i="33"/>
  <c r="F12" i="29"/>
  <c r="H44" i="27"/>
  <c r="H56" i="27"/>
  <c r="H33" i="27"/>
  <c r="H32" i="27"/>
  <c r="I34" i="27"/>
  <c r="K28" i="27"/>
  <c r="K30" i="27" s="1"/>
  <c r="I189" i="1" l="1"/>
  <c r="G14" i="1" s="1"/>
  <c r="G82" i="1"/>
  <c r="I82" i="1" s="1"/>
  <c r="I81" i="1"/>
  <c r="D113" i="52"/>
  <c r="F113" i="52" s="1"/>
  <c r="M12" i="6"/>
  <c r="D132" i="1" s="1"/>
  <c r="K44" i="6"/>
  <c r="I205" i="1" s="1"/>
  <c r="K42" i="6"/>
  <c r="I203" i="1" s="1"/>
  <c r="E205" i="1"/>
  <c r="G34" i="27"/>
  <c r="A24" i="16"/>
  <c r="A25" i="16" s="1"/>
  <c r="A26" i="16" s="1"/>
  <c r="A27" i="16" s="1"/>
  <c r="A51" i="1"/>
  <c r="A138" i="1"/>
  <c r="A139" i="1" s="1"/>
  <c r="A140" i="1" s="1"/>
  <c r="C136" i="1"/>
  <c r="H34" i="27"/>
  <c r="G47" i="1" l="1"/>
  <c r="I47" i="1" s="1"/>
  <c r="G114" i="1"/>
  <c r="I114" i="1" s="1"/>
  <c r="E194" i="1"/>
  <c r="G194" i="1" s="1"/>
  <c r="G197" i="1" s="1"/>
  <c r="I197" i="1" s="1"/>
  <c r="F94" i="5"/>
  <c r="K113" i="52"/>
  <c r="F126" i="52" s="1"/>
  <c r="H113" i="52"/>
  <c r="L113" i="52" s="1"/>
  <c r="K45" i="6"/>
  <c r="I206" i="1" s="1"/>
  <c r="F14" i="16"/>
  <c r="J14" i="16" s="1"/>
  <c r="J15" i="16" s="1"/>
  <c r="E20" i="16" s="1"/>
  <c r="B30" i="16"/>
  <c r="A141" i="1"/>
  <c r="A142" i="1" s="1"/>
  <c r="A143" i="1" s="1"/>
  <c r="A144" i="1" s="1"/>
  <c r="A145" i="1" s="1"/>
  <c r="A146" i="1" s="1"/>
  <c r="A147" i="1" s="1"/>
  <c r="A52" i="1"/>
  <c r="B29" i="16"/>
  <c r="G97" i="1"/>
  <c r="I97" i="1" s="1"/>
  <c r="G121" i="1"/>
  <c r="A28" i="16"/>
  <c r="A29" i="16" s="1"/>
  <c r="A30" i="16" s="1"/>
  <c r="A31" i="16" s="1"/>
  <c r="A33" i="16" s="1"/>
  <c r="B28" i="16"/>
  <c r="G57" i="1" l="1"/>
  <c r="I57" i="1" s="1"/>
  <c r="G115" i="1"/>
  <c r="G116" i="1" s="1"/>
  <c r="I116" i="1" s="1"/>
  <c r="G51" i="30"/>
  <c r="H51" i="30" s="1"/>
  <c r="G133" i="1"/>
  <c r="I133" i="1" s="1"/>
  <c r="H53" i="5"/>
  <c r="I53" i="5" s="1"/>
  <c r="D11" i="54"/>
  <c r="F12" i="54" s="1"/>
  <c r="G123" i="1"/>
  <c r="I123" i="1" s="1"/>
  <c r="G26" i="32"/>
  <c r="G129" i="1"/>
  <c r="G131" i="1" s="1"/>
  <c r="I131" i="1" s="1"/>
  <c r="G66" i="30"/>
  <c r="G67" i="30" s="1"/>
  <c r="G49" i="1"/>
  <c r="G51" i="1" s="1"/>
  <c r="L12" i="27"/>
  <c r="I9" i="55" s="1"/>
  <c r="G90" i="30"/>
  <c r="G91" i="30" s="1"/>
  <c r="G124" i="1"/>
  <c r="G79" i="30"/>
  <c r="G80" i="30" s="1"/>
  <c r="G109" i="52"/>
  <c r="S28" i="33"/>
  <c r="F97" i="5"/>
  <c r="F108" i="5"/>
  <c r="F95" i="5"/>
  <c r="F104" i="5"/>
  <c r="F98" i="5"/>
  <c r="F106" i="5"/>
  <c r="F92" i="5"/>
  <c r="D153" i="1"/>
  <c r="D17" i="49"/>
  <c r="H17" i="49" s="1"/>
  <c r="D124" i="1" s="1"/>
  <c r="D125" i="1" s="1"/>
  <c r="D96" i="1" s="1"/>
  <c r="H9" i="49"/>
  <c r="F96" i="5"/>
  <c r="E66" i="2"/>
  <c r="E95" i="2" s="1"/>
  <c r="I18" i="2"/>
  <c r="B31" i="16"/>
  <c r="A149" i="1"/>
  <c r="A151" i="1" s="1"/>
  <c r="A152" i="1" s="1"/>
  <c r="A35" i="16"/>
  <c r="A36" i="16" s="1"/>
  <c r="A37" i="16" s="1"/>
  <c r="A38" i="16" s="1"/>
  <c r="A39" i="16" s="1"/>
  <c r="A40" i="16" s="1"/>
  <c r="A53" i="1"/>
  <c r="A55" i="1" s="1"/>
  <c r="A56" i="1" s="1"/>
  <c r="I121" i="1"/>
  <c r="C147" i="1"/>
  <c r="G93" i="1" l="1"/>
  <c r="I8" i="55"/>
  <c r="L46" i="27"/>
  <c r="L20" i="27"/>
  <c r="L21" i="27"/>
  <c r="L22" i="27"/>
  <c r="L15" i="27"/>
  <c r="L16" i="27"/>
  <c r="L17" i="27"/>
  <c r="L18" i="27"/>
  <c r="L24" i="27"/>
  <c r="L25" i="27"/>
  <c r="L26" i="27"/>
  <c r="L19" i="27"/>
  <c r="L29" i="27"/>
  <c r="L27" i="27"/>
  <c r="L23" i="27"/>
  <c r="G59" i="1"/>
  <c r="L44" i="27"/>
  <c r="I115" i="1"/>
  <c r="G110" i="52"/>
  <c r="H123" i="52" s="1"/>
  <c r="I123" i="52" s="1"/>
  <c r="L50" i="27"/>
  <c r="G52" i="30"/>
  <c r="H52" i="30" s="1"/>
  <c r="H54" i="30" s="1"/>
  <c r="D36" i="30" s="1"/>
  <c r="D37" i="30" s="1"/>
  <c r="D38" i="30" s="1"/>
  <c r="D23" i="30" s="1"/>
  <c r="L52" i="27"/>
  <c r="H54" i="5"/>
  <c r="I54" i="5" s="1"/>
  <c r="G140" i="1"/>
  <c r="G141" i="1" s="1"/>
  <c r="I141" i="1" s="1"/>
  <c r="G12" i="54"/>
  <c r="C33" i="54"/>
  <c r="C34" i="54" s="1"/>
  <c r="M12" i="54"/>
  <c r="L12" i="54"/>
  <c r="I12" i="54"/>
  <c r="H12" i="54"/>
  <c r="N12" i="54"/>
  <c r="J12" i="54"/>
  <c r="E12" i="54"/>
  <c r="O12" i="54"/>
  <c r="D12" i="54"/>
  <c r="K12" i="54"/>
  <c r="I49" i="1"/>
  <c r="L45" i="27"/>
  <c r="L55" i="27"/>
  <c r="L51" i="27"/>
  <c r="L54" i="27"/>
  <c r="L56" i="27"/>
  <c r="L33" i="27"/>
  <c r="L49" i="27"/>
  <c r="L47" i="27"/>
  <c r="L53" i="27"/>
  <c r="L48" i="27"/>
  <c r="L73" i="27"/>
  <c r="H122" i="52"/>
  <c r="I124" i="1"/>
  <c r="I67" i="1"/>
  <c r="H66" i="2" s="1"/>
  <c r="H95" i="2" s="1"/>
  <c r="I122" i="1"/>
  <c r="C66" i="1"/>
  <c r="A57" i="1"/>
  <c r="S53" i="33"/>
  <c r="S29" i="33"/>
  <c r="A153" i="1"/>
  <c r="B156" i="1"/>
  <c r="G61" i="1"/>
  <c r="G52" i="1"/>
  <c r="I52" i="1" s="1"/>
  <c r="I51" i="1"/>
  <c r="I93" i="1"/>
  <c r="G128" i="1"/>
  <c r="G112" i="52" l="1"/>
  <c r="H125" i="52" s="1"/>
  <c r="H110" i="52"/>
  <c r="I140" i="1"/>
  <c r="O34" i="54"/>
  <c r="P34" i="54" s="1"/>
  <c r="M34" i="54"/>
  <c r="H55" i="5"/>
  <c r="I55" i="5" s="1"/>
  <c r="I34" i="54"/>
  <c r="H34" i="54"/>
  <c r="F34" i="54"/>
  <c r="L34" i="54"/>
  <c r="D34" i="54"/>
  <c r="P12" i="54"/>
  <c r="K34" i="54"/>
  <c r="G34" i="54"/>
  <c r="N34" i="54"/>
  <c r="J34" i="54"/>
  <c r="E34" i="54"/>
  <c r="L28" i="27"/>
  <c r="L30" i="27" s="1"/>
  <c r="L95" i="27"/>
  <c r="I19" i="2"/>
  <c r="G171" i="29"/>
  <c r="C171" i="29"/>
  <c r="I128" i="1"/>
  <c r="G130" i="1"/>
  <c r="I130" i="1" s="1"/>
  <c r="G134" i="1"/>
  <c r="I134" i="1" s="1"/>
  <c r="I61" i="1"/>
  <c r="G62" i="1"/>
  <c r="I62" i="1" s="1"/>
  <c r="A154" i="1"/>
  <c r="A155" i="1" s="1"/>
  <c r="A156" i="1" s="1"/>
  <c r="S81" i="33"/>
  <c r="S82" i="33" s="1"/>
  <c r="S54" i="33"/>
  <c r="A58" i="1"/>
  <c r="C67" i="1"/>
  <c r="H112" i="52" l="1"/>
  <c r="F70" i="33"/>
  <c r="I70" i="33"/>
  <c r="G70" i="33"/>
  <c r="K70" i="33"/>
  <c r="J70" i="33"/>
  <c r="H70" i="33"/>
  <c r="L70" i="33"/>
  <c r="N70" i="33"/>
  <c r="M70" i="33"/>
  <c r="H56" i="5"/>
  <c r="H57" i="5" s="1"/>
  <c r="I57" i="5" s="1"/>
  <c r="K83" i="27"/>
  <c r="L83" i="27" s="1"/>
  <c r="K32" i="27"/>
  <c r="K34" i="27" s="1"/>
  <c r="I72" i="1"/>
  <c r="K66" i="2"/>
  <c r="K95" i="2" s="1"/>
  <c r="I71" i="1"/>
  <c r="G10" i="29"/>
  <c r="G12" i="29" s="1"/>
  <c r="E111" i="29"/>
  <c r="C111" i="29"/>
  <c r="C10" i="29"/>
  <c r="F83" i="27"/>
  <c r="I24" i="5"/>
  <c r="D98" i="1" s="1"/>
  <c r="F110" i="5"/>
  <c r="H58" i="5"/>
  <c r="H60" i="5" s="1"/>
  <c r="H61" i="5" s="1"/>
  <c r="F106" i="33"/>
  <c r="F107" i="33" s="1"/>
  <c r="G107" i="33" s="1"/>
  <c r="A59" i="1"/>
  <c r="C68" i="1"/>
  <c r="A157" i="1"/>
  <c r="C161" i="1" s="1"/>
  <c r="P42" i="33" l="1"/>
  <c r="Q42" i="33" s="1"/>
  <c r="Q52" i="33" s="1"/>
  <c r="E124" i="52" s="1"/>
  <c r="P17" i="33"/>
  <c r="Q17" i="33" s="1"/>
  <c r="T17" i="33" s="1"/>
  <c r="G77" i="27"/>
  <c r="G15" i="27"/>
  <c r="H15" i="27" s="1"/>
  <c r="H28" i="27" s="1"/>
  <c r="H30" i="27" s="1"/>
  <c r="O70" i="33"/>
  <c r="G52" i="33"/>
  <c r="O52" i="33"/>
  <c r="E70" i="33"/>
  <c r="M52" i="33"/>
  <c r="I52" i="33"/>
  <c r="F52" i="33"/>
  <c r="D52" i="33"/>
  <c r="J52" i="33"/>
  <c r="H52" i="33"/>
  <c r="E52" i="33"/>
  <c r="K52" i="33"/>
  <c r="L52" i="33"/>
  <c r="D70" i="33"/>
  <c r="N66" i="33"/>
  <c r="I56" i="5"/>
  <c r="D157" i="1"/>
  <c r="N27" i="33"/>
  <c r="P13" i="33"/>
  <c r="R13" i="33" s="1"/>
  <c r="N52" i="33"/>
  <c r="O27" i="33"/>
  <c r="O66" i="33"/>
  <c r="L32" i="27"/>
  <c r="L34" i="27" s="1"/>
  <c r="E9" i="29"/>
  <c r="E12" i="29" s="1"/>
  <c r="C9" i="29"/>
  <c r="C12" i="29" s="1"/>
  <c r="F77" i="27"/>
  <c r="I98" i="1"/>
  <c r="D99" i="1"/>
  <c r="I61" i="5"/>
  <c r="H62" i="5"/>
  <c r="I58" i="5"/>
  <c r="A60" i="1"/>
  <c r="C69" i="1"/>
  <c r="A158" i="1"/>
  <c r="Q27" i="33" l="1"/>
  <c r="T42" i="33"/>
  <c r="Q54" i="33"/>
  <c r="O80" i="33"/>
  <c r="P70" i="33"/>
  <c r="R70" i="33" s="1"/>
  <c r="L66" i="33"/>
  <c r="L80" i="33" s="1"/>
  <c r="L27" i="33"/>
  <c r="P52" i="33"/>
  <c r="I27" i="33"/>
  <c r="I66" i="33"/>
  <c r="I80" i="33" s="1"/>
  <c r="J66" i="33"/>
  <c r="J80" i="33" s="1"/>
  <c r="J27" i="33"/>
  <c r="K66" i="33"/>
  <c r="K80" i="33" s="1"/>
  <c r="K27" i="33"/>
  <c r="P38" i="33"/>
  <c r="R38" i="33" s="1"/>
  <c r="R52" i="33" s="1"/>
  <c r="H66" i="33"/>
  <c r="H80" i="33" s="1"/>
  <c r="H27" i="33"/>
  <c r="E27" i="33"/>
  <c r="E66" i="33"/>
  <c r="E80" i="33" s="1"/>
  <c r="G66" i="33"/>
  <c r="G80" i="33" s="1"/>
  <c r="G27" i="33"/>
  <c r="M27" i="33"/>
  <c r="M66" i="33"/>
  <c r="M80" i="33" s="1"/>
  <c r="D66" i="33"/>
  <c r="D80" i="33" s="1"/>
  <c r="D27" i="33"/>
  <c r="F66" i="33"/>
  <c r="F80" i="33" s="1"/>
  <c r="F27" i="33"/>
  <c r="D159" i="1"/>
  <c r="E24" i="16"/>
  <c r="E28" i="16" s="1"/>
  <c r="J28" i="16" s="1"/>
  <c r="D161" i="1"/>
  <c r="I161" i="1" s="1"/>
  <c r="N80" i="33"/>
  <c r="T13" i="33"/>
  <c r="R27" i="33"/>
  <c r="R29" i="33" s="1"/>
  <c r="Q29" i="33"/>
  <c r="G28" i="27"/>
  <c r="G30" i="27" s="1"/>
  <c r="I62" i="5"/>
  <c r="H63" i="5"/>
  <c r="I60" i="5"/>
  <c r="I59" i="5"/>
  <c r="H29" i="16"/>
  <c r="A159" i="1"/>
  <c r="C163" i="1" s="1"/>
  <c r="C162" i="1"/>
  <c r="A61" i="1"/>
  <c r="C70" i="1"/>
  <c r="T38" i="33" l="1"/>
  <c r="Q70" i="33"/>
  <c r="Q80" i="33" s="1"/>
  <c r="Q82" i="33" s="1"/>
  <c r="P27" i="33"/>
  <c r="P66" i="33"/>
  <c r="R66" i="33" s="1"/>
  <c r="E26" i="16"/>
  <c r="E30" i="16" s="1"/>
  <c r="D163" i="1"/>
  <c r="I163" i="1" s="1"/>
  <c r="T27" i="33"/>
  <c r="D50" i="1" s="1"/>
  <c r="D53" i="1" s="1"/>
  <c r="T29" i="33"/>
  <c r="I50" i="1" s="1"/>
  <c r="R54" i="33"/>
  <c r="T54" i="33" s="1"/>
  <c r="E126" i="52"/>
  <c r="T52" i="33"/>
  <c r="I63" i="5"/>
  <c r="H64" i="5"/>
  <c r="A62" i="1"/>
  <c r="C71" i="1"/>
  <c r="I28" i="27"/>
  <c r="A160" i="1"/>
  <c r="H30" i="16"/>
  <c r="T70" i="33" l="1"/>
  <c r="P80" i="33"/>
  <c r="J30" i="16"/>
  <c r="E127" i="52"/>
  <c r="G126" i="52"/>
  <c r="T66" i="33"/>
  <c r="T80" i="33" s="1"/>
  <c r="R80" i="33"/>
  <c r="R82" i="33" s="1"/>
  <c r="T82" i="33" s="1"/>
  <c r="I53" i="1"/>
  <c r="G53" i="1" s="1"/>
  <c r="H65" i="5"/>
  <c r="I64" i="5"/>
  <c r="I30" i="27"/>
  <c r="G118" i="5"/>
  <c r="H118" i="5"/>
  <c r="A63" i="1"/>
  <c r="A65" i="1" s="1"/>
  <c r="A66" i="1" s="1"/>
  <c r="A67" i="1" s="1"/>
  <c r="A68" i="1" s="1"/>
  <c r="A69" i="1" s="1"/>
  <c r="A70" i="1" s="1"/>
  <c r="A71" i="1" s="1"/>
  <c r="A72" i="1" s="1"/>
  <c r="A73" i="1" s="1"/>
  <c r="A75" i="1" s="1"/>
  <c r="A76" i="1" s="1"/>
  <c r="A77" i="1" s="1"/>
  <c r="A78" i="1" s="1"/>
  <c r="A79" i="1" s="1"/>
  <c r="A83" i="1" s="1"/>
  <c r="A84" i="1" s="1"/>
  <c r="A85" i="1" s="1"/>
  <c r="A86" i="1" s="1"/>
  <c r="A87" i="1" s="1"/>
  <c r="A88" i="1" s="1"/>
  <c r="A89" i="1" s="1"/>
  <c r="A90" i="1" s="1"/>
  <c r="A91" i="1" s="1"/>
  <c r="A93" i="1" s="1"/>
  <c r="A95" i="1" s="1"/>
  <c r="A96" i="1" s="1"/>
  <c r="A97" i="1" s="1"/>
  <c r="A98" i="1" s="1"/>
  <c r="A99" i="1" s="1"/>
  <c r="A101" i="1" s="1"/>
  <c r="C72" i="1"/>
  <c r="A161" i="1"/>
  <c r="A162" i="1" s="1"/>
  <c r="A163" i="1" s="1"/>
  <c r="A164" i="1" s="1"/>
  <c r="I65" i="5" l="1"/>
  <c r="H66" i="5"/>
  <c r="I66" i="5" s="1"/>
  <c r="I126" i="52"/>
  <c r="J12" i="27"/>
  <c r="H26" i="32"/>
  <c r="H27" i="32" s="1"/>
  <c r="F79" i="30"/>
  <c r="F80" i="30" s="1"/>
  <c r="F66" i="30"/>
  <c r="F90" i="30"/>
  <c r="F91" i="30" s="1"/>
  <c r="H91" i="30" s="1"/>
  <c r="G143" i="1"/>
  <c r="C164" i="1"/>
  <c r="A166" i="1"/>
  <c r="A167" i="1" s="1"/>
  <c r="C170" i="1" s="1"/>
  <c r="F67" i="30" l="1"/>
  <c r="D7" i="30" s="1"/>
  <c r="D8" i="30" s="1"/>
  <c r="I71" i="5"/>
  <c r="D84" i="1" s="1"/>
  <c r="I84" i="1" s="1"/>
  <c r="J15" i="27"/>
  <c r="M15" i="27" s="1"/>
  <c r="J16" i="27"/>
  <c r="M16" i="27" s="1"/>
  <c r="J29" i="27"/>
  <c r="M29" i="27" s="1"/>
  <c r="J17" i="27"/>
  <c r="M17" i="27" s="1"/>
  <c r="J18" i="27"/>
  <c r="M18" i="27" s="1"/>
  <c r="J19" i="27"/>
  <c r="M19" i="27" s="1"/>
  <c r="J20" i="27"/>
  <c r="M20" i="27" s="1"/>
  <c r="J21" i="27"/>
  <c r="M21" i="27" s="1"/>
  <c r="J22" i="27"/>
  <c r="M22" i="27" s="1"/>
  <c r="J23" i="27"/>
  <c r="M23" i="27" s="1"/>
  <c r="J24" i="27"/>
  <c r="M24" i="27" s="1"/>
  <c r="J25" i="27"/>
  <c r="M25" i="27" s="1"/>
  <c r="J26" i="27"/>
  <c r="M26" i="27" s="1"/>
  <c r="J27" i="27"/>
  <c r="M27" i="27" s="1"/>
  <c r="I143" i="1"/>
  <c r="G146" i="1"/>
  <c r="I146" i="1" s="1"/>
  <c r="G145" i="1"/>
  <c r="I145" i="1" s="1"/>
  <c r="J56" i="27"/>
  <c r="M56" i="27" s="1"/>
  <c r="J51" i="27"/>
  <c r="M51" i="27" s="1"/>
  <c r="J45" i="27"/>
  <c r="M45" i="27" s="1"/>
  <c r="J47" i="27"/>
  <c r="M47" i="27" s="1"/>
  <c r="J33" i="27"/>
  <c r="M33" i="27" s="1"/>
  <c r="J52" i="27"/>
  <c r="M52" i="27" s="1"/>
  <c r="J48" i="27"/>
  <c r="M48" i="27" s="1"/>
  <c r="J32" i="27"/>
  <c r="J49" i="27"/>
  <c r="M49" i="27" s="1"/>
  <c r="J54" i="27"/>
  <c r="M54" i="27" s="1"/>
  <c r="J50" i="27"/>
  <c r="M50" i="27" s="1"/>
  <c r="J73" i="27"/>
  <c r="J46" i="27"/>
  <c r="M46" i="27" s="1"/>
  <c r="J44" i="27"/>
  <c r="M44" i="27" s="1"/>
  <c r="J55" i="27"/>
  <c r="M55" i="27" s="1"/>
  <c r="J53" i="27"/>
  <c r="M53" i="27" s="1"/>
  <c r="J28" i="27"/>
  <c r="A170" i="1"/>
  <c r="C11" i="1" s="1"/>
  <c r="C160" i="1"/>
  <c r="H67" i="30" l="1"/>
  <c r="M57" i="27"/>
  <c r="H44" i="5" s="1"/>
  <c r="M28" i="27"/>
  <c r="M30" i="27" s="1"/>
  <c r="F44" i="5" s="1"/>
  <c r="J30" i="27"/>
  <c r="I147" i="1"/>
  <c r="I30" i="2" s="1"/>
  <c r="I31" i="2" s="1"/>
  <c r="L31" i="2" s="1"/>
  <c r="J77" i="27"/>
  <c r="J83" i="27"/>
  <c r="J95" i="27"/>
  <c r="M95" i="27" s="1"/>
  <c r="J34" i="27"/>
  <c r="M34" i="27" s="1"/>
  <c r="G44" i="5" s="1"/>
  <c r="M32" i="27"/>
  <c r="M60" i="27" l="1"/>
  <c r="K38" i="52" l="1"/>
  <c r="D109" i="52" l="1"/>
  <c r="F109" i="52" s="1"/>
  <c r="K109" i="52" s="1"/>
  <c r="C21" i="6"/>
  <c r="D129" i="1" s="1"/>
  <c r="F122" i="52" l="1"/>
  <c r="G122" i="52" s="1"/>
  <c r="I122" i="52" s="1"/>
  <c r="H109" i="52"/>
  <c r="D136" i="1"/>
  <c r="I129" i="1"/>
  <c r="D59" i="1" l="1"/>
  <c r="D69" i="1" s="1"/>
  <c r="I26" i="2"/>
  <c r="I27" i="2" s="1"/>
  <c r="L27" i="2" s="1"/>
  <c r="I136" i="1"/>
  <c r="I59" i="1" l="1"/>
  <c r="I69" i="1" s="1"/>
  <c r="D48" i="21" l="1"/>
  <c r="E24" i="21" l="1"/>
  <c r="E32" i="21"/>
  <c r="E40" i="21"/>
  <c r="E31" i="21"/>
  <c r="E25" i="21"/>
  <c r="E33" i="21"/>
  <c r="E41" i="21"/>
  <c r="E26" i="21"/>
  <c r="E34" i="21"/>
  <c r="E42" i="21"/>
  <c r="E27" i="21"/>
  <c r="E35" i="21"/>
  <c r="E43" i="21"/>
  <c r="E23" i="21"/>
  <c r="E20" i="21"/>
  <c r="E28" i="21"/>
  <c r="E36" i="21"/>
  <c r="E44" i="21"/>
  <c r="E21" i="21"/>
  <c r="E29" i="21"/>
  <c r="E37" i="21"/>
  <c r="E19" i="21"/>
  <c r="E39" i="21"/>
  <c r="E22" i="21"/>
  <c r="E30" i="21"/>
  <c r="E38" i="21"/>
  <c r="E18" i="21"/>
  <c r="E48" i="21" l="1"/>
  <c r="E73" i="30" l="1"/>
  <c r="E78" i="30" s="1"/>
  <c r="E80" i="30" s="1"/>
  <c r="H80" i="30" s="1"/>
  <c r="D15" i="30" s="1"/>
  <c r="D22" i="30" s="1"/>
  <c r="C78" i="30"/>
  <c r="D24" i="30" l="1"/>
  <c r="D43" i="30"/>
  <c r="D14" i="1" l="1"/>
  <c r="I14" i="1"/>
  <c r="I33" i="2" l="1"/>
  <c r="E113" i="28" l="1"/>
  <c r="I10" i="55"/>
  <c r="I14" i="55" s="1"/>
  <c r="I16" i="55" s="1"/>
  <c r="I20" i="55" s="1"/>
  <c r="D169" i="1" s="1"/>
  <c r="I169" i="1" s="1"/>
  <c r="F113" i="28" l="1"/>
  <c r="F116" i="28" s="1"/>
  <c r="G113" i="28"/>
  <c r="D81" i="28"/>
  <c r="G174" i="28"/>
  <c r="F174" i="28"/>
  <c r="F177" i="28" s="1"/>
  <c r="F10" i="28" s="1"/>
  <c r="E174" i="28"/>
  <c r="E177" i="28" s="1"/>
  <c r="G82" i="27" s="1"/>
  <c r="C174" i="28"/>
  <c r="E81" i="28"/>
  <c r="G94" i="27" s="1"/>
  <c r="G81" i="28"/>
  <c r="G11" i="28" s="1"/>
  <c r="D113" i="28"/>
  <c r="D116" i="28" s="1"/>
  <c r="C113" i="28"/>
  <c r="D174" i="28"/>
  <c r="D177" i="28" s="1"/>
  <c r="F81" i="28"/>
  <c r="F9" i="28" l="1"/>
  <c r="I76" i="27"/>
  <c r="I78" i="27" s="1"/>
  <c r="J78" i="27" s="1"/>
  <c r="E10" i="28"/>
  <c r="K94" i="27"/>
  <c r="K96" i="27" s="1"/>
  <c r="C81" i="28"/>
  <c r="F94" i="27" s="1"/>
  <c r="F96" i="27" s="1"/>
  <c r="E11" i="28"/>
  <c r="I82" i="27"/>
  <c r="I84" i="27" s="1"/>
  <c r="I94" i="27"/>
  <c r="F11" i="28"/>
  <c r="F12" i="28" s="1"/>
  <c r="G116" i="28"/>
  <c r="G9" i="28" s="1"/>
  <c r="G84" i="27"/>
  <c r="H82" i="27"/>
  <c r="H84" i="27" s="1"/>
  <c r="G96" i="27"/>
  <c r="H94" i="27"/>
  <c r="H96" i="27" s="1"/>
  <c r="J76" i="27" l="1"/>
  <c r="L94" i="27"/>
  <c r="L96" i="27" s="1"/>
  <c r="C11" i="28"/>
  <c r="J82" i="27"/>
  <c r="J84" i="27" s="1"/>
  <c r="K76" i="27"/>
  <c r="K78" i="27" s="1"/>
  <c r="L78" i="27" s="1"/>
  <c r="G177" i="28"/>
  <c r="G10" i="28" s="1"/>
  <c r="G12" i="28" s="1"/>
  <c r="I96" i="27"/>
  <c r="J94" i="27"/>
  <c r="J96" i="27" s="1"/>
  <c r="K82" i="27" l="1"/>
  <c r="L82" i="27" s="1"/>
  <c r="L84" i="27" s="1"/>
  <c r="M84" i="27" s="1"/>
  <c r="D78" i="1" s="1"/>
  <c r="I78" i="1" s="1"/>
  <c r="E116" i="28"/>
  <c r="E9" i="28" s="1"/>
  <c r="E12" i="28" s="1"/>
  <c r="M94" i="27"/>
  <c r="M96" i="27" s="1"/>
  <c r="D79" i="1" s="1"/>
  <c r="I79" i="1" s="1"/>
  <c r="K84" i="27" l="1"/>
  <c r="G76" i="27"/>
  <c r="G78" i="27" s="1"/>
  <c r="H78" i="27" s="1"/>
  <c r="M78" i="27" s="1"/>
  <c r="D77" i="1" s="1"/>
  <c r="I77" i="1" s="1"/>
  <c r="C177" i="28"/>
  <c r="C10" i="28" s="1"/>
  <c r="F82" i="27" l="1"/>
  <c r="F84" i="27" s="1"/>
  <c r="C116" i="28"/>
  <c r="C9" i="28" s="1"/>
  <c r="C12" i="28" s="1"/>
  <c r="F76" i="27" l="1"/>
  <c r="F78" i="27" s="1"/>
  <c r="K111" i="52"/>
  <c r="F124" i="52" s="1"/>
  <c r="G124" i="52" s="1"/>
  <c r="L111" i="52"/>
  <c r="K112" i="52"/>
  <c r="F125" i="52" s="1"/>
  <c r="G125" i="52" s="1"/>
  <c r="I125" i="52" s="1"/>
  <c r="F127" i="52" l="1"/>
  <c r="I124" i="52"/>
  <c r="I127" i="52" s="1"/>
  <c r="I60" i="1" s="1"/>
  <c r="G127" i="52"/>
  <c r="D60" i="1" s="1"/>
  <c r="D70" i="1" l="1"/>
  <c r="D73" i="1" s="1"/>
  <c r="D63" i="1"/>
  <c r="I63" i="1"/>
  <c r="I70" i="1"/>
  <c r="I73" i="1" s="1"/>
  <c r="G73" i="1" l="1"/>
  <c r="L110" i="52" l="1"/>
  <c r="L112" i="52" l="1"/>
  <c r="L109" i="52" l="1"/>
  <c r="G48" i="21" l="1"/>
  <c r="H48" i="21"/>
  <c r="J37" i="52" l="1"/>
  <c r="J36" i="52"/>
  <c r="J31" i="52"/>
  <c r="J29" i="52"/>
  <c r="J27" i="52"/>
  <c r="J22" i="52"/>
  <c r="J20" i="52"/>
  <c r="J28" i="52" l="1"/>
  <c r="J32" i="52"/>
  <c r="J33" i="52"/>
  <c r="J30" i="52"/>
  <c r="J34" i="52"/>
  <c r="J35" i="52"/>
  <c r="J21" i="52"/>
  <c r="J18" i="52"/>
  <c r="J19" i="52"/>
  <c r="J15" i="52"/>
  <c r="J16" i="52"/>
  <c r="J17" i="52"/>
  <c r="I23" i="52" l="1"/>
  <c r="J23" i="52"/>
  <c r="J26" i="52" l="1"/>
  <c r="J38" i="52" s="1"/>
  <c r="I38" i="52"/>
  <c r="I24" i="32" l="1"/>
  <c r="I27" i="32" s="1"/>
  <c r="G24" i="32"/>
  <c r="G27" i="32" s="1"/>
  <c r="J28" i="32" l="1"/>
  <c r="I118" i="1" s="1"/>
  <c r="I125" i="1" s="1"/>
  <c r="I96" i="1" s="1"/>
  <c r="I99" i="1" s="1"/>
  <c r="K16" i="54"/>
  <c r="K18" i="54" s="1"/>
  <c r="D16" i="54"/>
  <c r="E16" i="54"/>
  <c r="E18" i="54" s="1"/>
  <c r="O16" i="54"/>
  <c r="O18" i="54" s="1"/>
  <c r="L16" i="54"/>
  <c r="L18" i="54" s="1"/>
  <c r="F16" i="54"/>
  <c r="F18" i="54" s="1"/>
  <c r="G16" i="54"/>
  <c r="G18" i="54" s="1"/>
  <c r="N16" i="54"/>
  <c r="N18" i="54" s="1"/>
  <c r="I16" i="54"/>
  <c r="I18" i="54" s="1"/>
  <c r="H16" i="54"/>
  <c r="H18" i="54" s="1"/>
  <c r="C37" i="54"/>
  <c r="M16" i="54"/>
  <c r="M18" i="54" s="1"/>
  <c r="J16" i="54"/>
  <c r="J18" i="54" s="1"/>
  <c r="I22" i="2" l="1"/>
  <c r="I23" i="2" s="1"/>
  <c r="L23" i="2" s="1"/>
  <c r="L36" i="2" s="1"/>
  <c r="F81" i="2" s="1"/>
  <c r="G81" i="2" s="1"/>
  <c r="P16" i="54"/>
  <c r="D18" i="54"/>
  <c r="P18" i="54" s="1"/>
  <c r="L21" i="6" s="1"/>
  <c r="D158" i="1" s="1"/>
  <c r="M38" i="54"/>
  <c r="M40" i="54" s="1"/>
  <c r="O38" i="54"/>
  <c r="O40" i="54" s="1"/>
  <c r="I38" i="54"/>
  <c r="I40" i="54" s="1"/>
  <c r="N38" i="54"/>
  <c r="N40" i="54" s="1"/>
  <c r="D38" i="54"/>
  <c r="D40" i="54" s="1"/>
  <c r="F38" i="54"/>
  <c r="F40" i="54" s="1"/>
  <c r="C38" i="54"/>
  <c r="H38" i="54"/>
  <c r="H40" i="54" s="1"/>
  <c r="E38" i="54"/>
  <c r="E40" i="54" s="1"/>
  <c r="J38" i="54"/>
  <c r="J40" i="54" s="1"/>
  <c r="G38" i="54"/>
  <c r="G40" i="54" s="1"/>
  <c r="L38" i="54"/>
  <c r="L40" i="54" s="1"/>
  <c r="K38" i="54"/>
  <c r="K40" i="54" s="1"/>
  <c r="F69" i="2" l="1"/>
  <c r="G69" i="2" s="1"/>
  <c r="F90" i="2"/>
  <c r="G90" i="2" s="1"/>
  <c r="F71" i="2"/>
  <c r="G71" i="2" s="1"/>
  <c r="F67" i="2"/>
  <c r="G67" i="2" s="1"/>
  <c r="F70" i="2"/>
  <c r="G70" i="2" s="1"/>
  <c r="F72" i="2"/>
  <c r="G72" i="2" s="1"/>
  <c r="F78" i="2"/>
  <c r="G78" i="2" s="1"/>
  <c r="F87" i="2"/>
  <c r="G87" i="2" s="1"/>
  <c r="F73" i="2"/>
  <c r="G73" i="2" s="1"/>
  <c r="F74" i="2"/>
  <c r="G74" i="2" s="1"/>
  <c r="F83" i="2"/>
  <c r="G83" i="2" s="1"/>
  <c r="F92" i="2"/>
  <c r="G92" i="2" s="1"/>
  <c r="F80" i="2"/>
  <c r="G80" i="2" s="1"/>
  <c r="F86" i="2"/>
  <c r="G86" i="2" s="1"/>
  <c r="F84" i="2"/>
  <c r="G84" i="2" s="1"/>
  <c r="F89" i="2"/>
  <c r="G89" i="2" s="1"/>
  <c r="F91" i="2"/>
  <c r="G91" i="2" s="1"/>
  <c r="F68" i="2"/>
  <c r="G68" i="2" s="1"/>
  <c r="F76" i="2"/>
  <c r="G76" i="2" s="1"/>
  <c r="F79" i="2"/>
  <c r="G79" i="2" s="1"/>
  <c r="F77" i="2"/>
  <c r="G77" i="2" s="1"/>
  <c r="F88" i="2"/>
  <c r="G88" i="2" s="1"/>
  <c r="F66" i="2"/>
  <c r="G66" i="2" s="1"/>
  <c r="F75" i="2"/>
  <c r="G75" i="2" s="1"/>
  <c r="F82" i="2"/>
  <c r="G82" i="2" s="1"/>
  <c r="F85" i="2"/>
  <c r="G85" i="2" s="1"/>
  <c r="P38" i="54"/>
  <c r="C40" i="54"/>
  <c r="P40" i="54" s="1"/>
  <c r="D80" i="1" s="1"/>
  <c r="D162" i="1"/>
  <c r="I162" i="1" s="1"/>
  <c r="E25" i="16"/>
  <c r="E29" i="16" s="1"/>
  <c r="J29" i="16" s="1"/>
  <c r="I80" i="1" l="1"/>
  <c r="I91" i="1" s="1"/>
  <c r="I101" i="1" s="1"/>
  <c r="D91" i="1"/>
  <c r="D101" i="1" s="1"/>
  <c r="D167" i="1" s="1"/>
  <c r="D160" i="1" s="1"/>
  <c r="D164" i="1" s="1"/>
  <c r="D170" i="1" s="1"/>
  <c r="I167" i="1" l="1"/>
  <c r="K7" i="16"/>
  <c r="K16" i="16" l="1"/>
  <c r="K39" i="16"/>
  <c r="I160" i="1"/>
  <c r="I164" i="1" s="1"/>
  <c r="I43" i="2"/>
  <c r="I44" i="2" s="1"/>
  <c r="K35" i="16"/>
  <c r="I170" i="1" l="1"/>
  <c r="I11" i="1" s="1"/>
  <c r="I16" i="1" s="1"/>
  <c r="I39" i="2"/>
  <c r="I40" i="2" s="1"/>
  <c r="L40" i="2" s="1"/>
  <c r="K36" i="16"/>
  <c r="K37" i="16" s="1"/>
  <c r="L44" i="2"/>
  <c r="E27" i="16"/>
  <c r="E31" i="16" s="1"/>
  <c r="J27" i="16"/>
  <c r="J31" i="16" s="1"/>
  <c r="K31" i="16" s="1"/>
  <c r="K33" i="16" s="1"/>
  <c r="K38" i="16" l="1"/>
  <c r="K40" i="16" s="1"/>
  <c r="N84" i="2" s="1"/>
  <c r="I46" i="2"/>
  <c r="L46" i="2"/>
  <c r="N77" i="2" l="1"/>
  <c r="N73" i="2"/>
  <c r="N89" i="2"/>
  <c r="N67" i="2"/>
  <c r="N81" i="2"/>
  <c r="N70" i="2"/>
  <c r="N83" i="2"/>
  <c r="N88" i="2"/>
  <c r="N72" i="2"/>
  <c r="N80" i="2"/>
  <c r="N68" i="2"/>
  <c r="N91" i="2"/>
  <c r="N71" i="2"/>
  <c r="N85" i="2"/>
  <c r="N92" i="2"/>
  <c r="N90" i="2"/>
  <c r="N79" i="2"/>
  <c r="N74" i="2"/>
  <c r="N82" i="2"/>
  <c r="N75" i="2"/>
  <c r="N87" i="2"/>
  <c r="N86" i="2"/>
  <c r="N78" i="2"/>
  <c r="N69" i="2"/>
  <c r="N76" i="2"/>
  <c r="N66" i="2"/>
  <c r="I70" i="2"/>
  <c r="J70" i="2" s="1"/>
  <c r="L70" i="2" s="1"/>
  <c r="I78" i="2"/>
  <c r="J78" i="2" s="1"/>
  <c r="L78" i="2" s="1"/>
  <c r="I82" i="2"/>
  <c r="J82" i="2" s="1"/>
  <c r="L82" i="2" s="1"/>
  <c r="I84" i="2"/>
  <c r="J84" i="2" s="1"/>
  <c r="L84" i="2" s="1"/>
  <c r="I81" i="2"/>
  <c r="J81" i="2" s="1"/>
  <c r="L81" i="2" s="1"/>
  <c r="I75" i="2"/>
  <c r="J75" i="2" s="1"/>
  <c r="L75" i="2" s="1"/>
  <c r="I69" i="2"/>
  <c r="J69" i="2" s="1"/>
  <c r="L69" i="2" s="1"/>
  <c r="I85" i="2"/>
  <c r="J85" i="2" s="1"/>
  <c r="L85" i="2" s="1"/>
  <c r="I79" i="2"/>
  <c r="J79" i="2" s="1"/>
  <c r="L79" i="2" s="1"/>
  <c r="I89" i="2"/>
  <c r="J89" i="2" s="1"/>
  <c r="L89" i="2" s="1"/>
  <c r="I66" i="2"/>
  <c r="J66" i="2" s="1"/>
  <c r="I72" i="2"/>
  <c r="J72" i="2" s="1"/>
  <c r="L72" i="2" s="1"/>
  <c r="I67" i="2"/>
  <c r="J67" i="2" s="1"/>
  <c r="L67" i="2" s="1"/>
  <c r="I77" i="2"/>
  <c r="J77" i="2" s="1"/>
  <c r="L77" i="2" s="1"/>
  <c r="I90" i="2"/>
  <c r="J90" i="2" s="1"/>
  <c r="L90" i="2" s="1"/>
  <c r="I91" i="2"/>
  <c r="J91" i="2" s="1"/>
  <c r="L91" i="2" s="1"/>
  <c r="I88" i="2"/>
  <c r="J88" i="2" s="1"/>
  <c r="L88" i="2" s="1"/>
  <c r="I92" i="2"/>
  <c r="J92" i="2" s="1"/>
  <c r="L92" i="2" s="1"/>
  <c r="I71" i="2"/>
  <c r="J71" i="2" s="1"/>
  <c r="L71" i="2" s="1"/>
  <c r="I83" i="2"/>
  <c r="J83" i="2" s="1"/>
  <c r="L83" i="2" s="1"/>
  <c r="I73" i="2"/>
  <c r="J73" i="2" s="1"/>
  <c r="L73" i="2" s="1"/>
  <c r="I68" i="2"/>
  <c r="J68" i="2" s="1"/>
  <c r="L68" i="2" s="1"/>
  <c r="I74" i="2"/>
  <c r="J74" i="2" s="1"/>
  <c r="L74" i="2" s="1"/>
  <c r="I87" i="2"/>
  <c r="J87" i="2" s="1"/>
  <c r="L87" i="2" s="1"/>
  <c r="I86" i="2"/>
  <c r="J86" i="2" s="1"/>
  <c r="L86" i="2" s="1"/>
  <c r="I76" i="2"/>
  <c r="J76" i="2" s="1"/>
  <c r="L76" i="2" s="1"/>
  <c r="I80" i="2"/>
  <c r="J80" i="2" s="1"/>
  <c r="L80" i="2" s="1"/>
  <c r="Q71" i="2" l="1"/>
  <c r="O82" i="2"/>
  <c r="Q70" i="2"/>
  <c r="N95" i="2"/>
  <c r="O70" i="2"/>
  <c r="Q76" i="2"/>
  <c r="O71" i="2"/>
  <c r="Q82" i="2"/>
  <c r="O86" i="2"/>
  <c r="Q86" i="2"/>
  <c r="Q73" i="2"/>
  <c r="O73" i="2"/>
  <c r="Q88" i="2"/>
  <c r="O88" i="2"/>
  <c r="O67" i="2"/>
  <c r="Q67" i="2"/>
  <c r="Q79" i="2"/>
  <c r="O79" i="2"/>
  <c r="Q81" i="2"/>
  <c r="O81" i="2"/>
  <c r="O83" i="2"/>
  <c r="Q83" i="2"/>
  <c r="Q91" i="2"/>
  <c r="O91" i="2"/>
  <c r="O72" i="2"/>
  <c r="Q72" i="2"/>
  <c r="Q85" i="2"/>
  <c r="O85" i="2"/>
  <c r="Q84" i="2"/>
  <c r="O84" i="2"/>
  <c r="Q80" i="2"/>
  <c r="O80" i="2"/>
  <c r="O74" i="2"/>
  <c r="Q74" i="2"/>
  <c r="O90" i="2"/>
  <c r="Q90" i="2"/>
  <c r="J95" i="2"/>
  <c r="L66" i="2"/>
  <c r="Q69" i="2"/>
  <c r="O69" i="2"/>
  <c r="O76" i="2"/>
  <c r="Q87" i="2"/>
  <c r="O87" i="2"/>
  <c r="O68" i="2"/>
  <c r="Q68" i="2"/>
  <c r="Q92" i="2"/>
  <c r="O92" i="2"/>
  <c r="Q77" i="2"/>
  <c r="O77" i="2"/>
  <c r="O89" i="2"/>
  <c r="Q89" i="2"/>
  <c r="Q75" i="2"/>
  <c r="O75" i="2"/>
  <c r="O78" i="2"/>
  <c r="Q78" i="2"/>
  <c r="O66" i="2" l="1"/>
  <c r="O95" i="2" s="1"/>
  <c r="L95" i="2"/>
  <c r="Q66" i="2"/>
  <c r="Q95" i="2" l="1"/>
  <c r="S77" i="2" l="1"/>
  <c r="S70" i="2"/>
  <c r="S82" i="2"/>
  <c r="S76" i="2"/>
  <c r="S71" i="2"/>
  <c r="S87" i="2"/>
  <c r="S89" i="2"/>
  <c r="S84" i="2"/>
  <c r="S73" i="2"/>
  <c r="S92" i="2"/>
  <c r="S74" i="2"/>
  <c r="S75" i="2"/>
  <c r="S88" i="2"/>
  <c r="S72" i="2"/>
  <c r="S67" i="2"/>
  <c r="S81" i="2"/>
  <c r="S78" i="2"/>
  <c r="S86" i="2"/>
  <c r="S85" i="2"/>
  <c r="S83" i="2"/>
  <c r="S91" i="2"/>
  <c r="S80" i="2"/>
  <c r="S90" i="2"/>
  <c r="S68" i="2"/>
  <c r="S79" i="2"/>
  <c r="S69" i="2"/>
  <c r="S66" i="2"/>
  <c r="I22" i="1" l="1"/>
  <c r="S95" i="2"/>
  <c r="I18" i="1" s="1"/>
  <c r="D44" i="7" l="1"/>
  <c r="G44" i="7" s="1"/>
  <c r="J21" i="21" s="1"/>
  <c r="K21" i="21" s="1"/>
  <c r="R69" i="2" s="1"/>
  <c r="T69" i="2" s="1"/>
  <c r="D48" i="7" l="1"/>
  <c r="G48" i="7" s="1"/>
  <c r="J25" i="21" s="1"/>
  <c r="K25" i="21" s="1"/>
  <c r="R73" i="2" s="1"/>
  <c r="T73" i="2" s="1"/>
  <c r="D54" i="7"/>
  <c r="G54" i="7" s="1"/>
  <c r="J31" i="21" s="1"/>
  <c r="K31" i="21" s="1"/>
  <c r="R79" i="2" s="1"/>
  <c r="T79" i="2" s="1"/>
  <c r="D56" i="7"/>
  <c r="G56" i="7" s="1"/>
  <c r="J33" i="21" s="1"/>
  <c r="K33" i="21" s="1"/>
  <c r="R81" i="2" s="1"/>
  <c r="T81" i="2" s="1"/>
  <c r="D62" i="7"/>
  <c r="G62" i="7" s="1"/>
  <c r="J39" i="21" s="1"/>
  <c r="K39" i="21" s="1"/>
  <c r="R87" i="2" s="1"/>
  <c r="T87" i="2" s="1"/>
  <c r="D50" i="7"/>
  <c r="G50" i="7" s="1"/>
  <c r="J27" i="21" s="1"/>
  <c r="K27" i="21" s="1"/>
  <c r="R75" i="2" s="1"/>
  <c r="T75" i="2" s="1"/>
  <c r="D64" i="7"/>
  <c r="G64" i="7" s="1"/>
  <c r="J41" i="21" s="1"/>
  <c r="K41" i="21" s="1"/>
  <c r="R89" i="2" s="1"/>
  <c r="T89" i="2" s="1"/>
  <c r="D58" i="7"/>
  <c r="G58" i="7" s="1"/>
  <c r="J35" i="21" s="1"/>
  <c r="K35" i="21" s="1"/>
  <c r="R83" i="2" s="1"/>
  <c r="T83" i="2" s="1"/>
  <c r="D43" i="7"/>
  <c r="G43" i="7" s="1"/>
  <c r="J20" i="21" s="1"/>
  <c r="K20" i="21" s="1"/>
  <c r="R68" i="2" s="1"/>
  <c r="T68" i="2" s="1"/>
  <c r="D49" i="7"/>
  <c r="G49" i="7" s="1"/>
  <c r="J26" i="21" s="1"/>
  <c r="K26" i="21" s="1"/>
  <c r="R74" i="2" s="1"/>
  <c r="T74" i="2" s="1"/>
  <c r="D63" i="7"/>
  <c r="G63" i="7" s="1"/>
  <c r="J40" i="21" s="1"/>
  <c r="K40" i="21" s="1"/>
  <c r="R88" i="2" s="1"/>
  <c r="T88" i="2" s="1"/>
  <c r="D66" i="7"/>
  <c r="G66" i="7" s="1"/>
  <c r="J43" i="21" s="1"/>
  <c r="K43" i="21" s="1"/>
  <c r="R91" i="2" s="1"/>
  <c r="T91" i="2" s="1"/>
  <c r="D51" i="7"/>
  <c r="G51" i="7" s="1"/>
  <c r="J28" i="21" s="1"/>
  <c r="K28" i="21" s="1"/>
  <c r="R76" i="2" s="1"/>
  <c r="T76" i="2" s="1"/>
  <c r="D57" i="7"/>
  <c r="G57" i="7" s="1"/>
  <c r="J34" i="21" s="1"/>
  <c r="K34" i="21" s="1"/>
  <c r="R82" i="2" s="1"/>
  <c r="T82" i="2" s="1"/>
  <c r="D45" i="7"/>
  <c r="G45" i="7" s="1"/>
  <c r="J22" i="21" s="1"/>
  <c r="K22" i="21" s="1"/>
  <c r="R70" i="2" s="1"/>
  <c r="T70" i="2" s="1"/>
  <c r="D59" i="7"/>
  <c r="G59" i="7" s="1"/>
  <c r="J36" i="21" s="1"/>
  <c r="K36" i="21" s="1"/>
  <c r="R84" i="2" s="1"/>
  <c r="T84" i="2" s="1"/>
  <c r="D65" i="7"/>
  <c r="G65" i="7" s="1"/>
  <c r="J42" i="21" s="1"/>
  <c r="K42" i="21" s="1"/>
  <c r="R90" i="2" s="1"/>
  <c r="T90" i="2" s="1"/>
  <c r="D42" i="7"/>
  <c r="G42" i="7" s="1"/>
  <c r="J19" i="21" s="1"/>
  <c r="K19" i="21" s="1"/>
  <c r="R67" i="2" s="1"/>
  <c r="T67" i="2" s="1"/>
  <c r="D60" i="7"/>
  <c r="G60" i="7" s="1"/>
  <c r="J37" i="21" s="1"/>
  <c r="K37" i="21" s="1"/>
  <c r="R85" i="2" s="1"/>
  <c r="T85" i="2" s="1"/>
  <c r="D47" i="7"/>
  <c r="G47" i="7" s="1"/>
  <c r="J24" i="21" s="1"/>
  <c r="K24" i="21" s="1"/>
  <c r="R72" i="2" s="1"/>
  <c r="T72" i="2" s="1"/>
  <c r="D53" i="7"/>
  <c r="G53" i="7" s="1"/>
  <c r="J30" i="21" s="1"/>
  <c r="K30" i="21" s="1"/>
  <c r="R78" i="2" s="1"/>
  <c r="T78" i="2" s="1"/>
  <c r="D67" i="7"/>
  <c r="G67" i="7" s="1"/>
  <c r="J44" i="21" s="1"/>
  <c r="K44" i="21" s="1"/>
  <c r="R92" i="2" s="1"/>
  <c r="T92" i="2" s="1"/>
  <c r="D52" i="7"/>
  <c r="G52" i="7" s="1"/>
  <c r="J29" i="21" s="1"/>
  <c r="K29" i="21" s="1"/>
  <c r="R77" i="2" s="1"/>
  <c r="T77" i="2" s="1"/>
  <c r="D55" i="7"/>
  <c r="G55" i="7" s="1"/>
  <c r="J32" i="21" s="1"/>
  <c r="K32" i="21" s="1"/>
  <c r="R80" i="2" s="1"/>
  <c r="T80" i="2" s="1"/>
  <c r="D61" i="7"/>
  <c r="G61" i="7" s="1"/>
  <c r="J38" i="21" s="1"/>
  <c r="K38" i="21" s="1"/>
  <c r="R86" i="2" s="1"/>
  <c r="T86" i="2" s="1"/>
  <c r="D46" i="7"/>
  <c r="G46" i="7" s="1"/>
  <c r="J23" i="21" s="1"/>
  <c r="K23" i="21" s="1"/>
  <c r="R71" i="2" s="1"/>
  <c r="T71" i="2" s="1"/>
  <c r="T95" i="2" l="1"/>
  <c r="D41" i="7" l="1"/>
  <c r="G41" i="7" s="1"/>
  <c r="J18" i="21" s="1"/>
  <c r="J48" i="21" l="1"/>
  <c r="J51" i="21" s="1"/>
  <c r="K18" i="21"/>
  <c r="R66" i="2" l="1"/>
  <c r="K48" i="21"/>
  <c r="I23" i="1" l="1"/>
  <c r="I24" i="1" s="1"/>
  <c r="I30" i="1" s="1"/>
  <c r="R95" i="2"/>
  <c r="I19" i="1" s="1"/>
  <c r="I20" i="1" s="1"/>
</calcChain>
</file>

<file path=xl/sharedStrings.xml><?xml version="1.0" encoding="utf-8"?>
<sst xmlns="http://schemas.openxmlformats.org/spreadsheetml/2006/main" count="3850" uniqueCount="1782">
  <si>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</si>
  <si>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</si>
  <si>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</si>
  <si>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</si>
  <si>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</si>
  <si>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</si>
  <si>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</si>
  <si>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</si>
  <si>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</si>
  <si>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</si>
  <si>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</si>
  <si>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</si>
  <si>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</si>
  <si>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</si>
  <si>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</si>
  <si>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</si>
  <si>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</si>
  <si>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</si>
  <si>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</si>
  <si>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</si>
  <si>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</si>
  <si>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</si>
  <si>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</si>
  <si>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</si>
  <si>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</si>
  <si>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</si>
  <si>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</si>
  <si>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</si>
  <si>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</si>
  <si>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</si>
  <si>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A&amp;G</t>
  </si>
  <si>
    <t xml:space="preserve">  LABOR RELATED</t>
  </si>
  <si>
    <t xml:space="preserve">          Payroll</t>
  </si>
  <si>
    <t xml:space="preserve">  PLANT RELATED</t>
  </si>
  <si>
    <t xml:space="preserve">         Property</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</si>
  <si>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</si>
  <si>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</si>
  <si>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</si>
  <si>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</si>
  <si>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</si>
  <si>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</si>
  <si>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</si>
  <si>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</si>
  <si>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</si>
  <si>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</si>
  <si>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</si>
  <si>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</si>
  <si>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</si>
  <si>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</si>
  <si>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</si>
  <si>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</si>
  <si>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</si>
  <si>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</si>
  <si>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</si>
  <si>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</si>
  <si>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</si>
  <si>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</si>
  <si>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</si>
  <si>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</si>
  <si>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</si>
  <si>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</si>
  <si>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</si>
  <si>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</si>
  <si>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</si>
  <si>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</si>
  <si>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</si>
  <si>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</si>
  <si>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</si>
  <si>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</si>
  <si>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</si>
  <si>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</si>
  <si>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</si>
  <si>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</si>
  <si>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</si>
  <si>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</si>
  <si>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</si>
  <si>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</si>
  <si>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</si>
  <si>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</si>
  <si>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</si>
  <si>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</si>
  <si>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</si>
  <si>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</si>
  <si>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</si>
  <si>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</si>
  <si>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</si>
  <si>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</si>
  <si>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</si>
  <si>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</si>
  <si>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</si>
  <si>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</si>
  <si>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</si>
  <si>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</si>
  <si>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</si>
  <si>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</si>
  <si>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</si>
  <si>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</si>
  <si>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</si>
  <si>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</si>
  <si>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</si>
  <si>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</si>
  <si>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</si>
  <si>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</si>
  <si>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</si>
  <si>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</si>
  <si>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</si>
  <si>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</si>
  <si>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</si>
  <si>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</si>
  <si>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</si>
  <si>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</si>
  <si>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</si>
  <si>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</si>
  <si>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</si>
  <si>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</si>
  <si>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</si>
  <si>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</si>
  <si>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</si>
  <si>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</si>
  <si>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</si>
  <si>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</si>
  <si>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</si>
  <si>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</si>
  <si>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</si>
  <si>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</si>
  <si>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</si>
  <si>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</si>
  <si>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</si>
  <si>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</si>
  <si>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</si>
  <si>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</si>
  <si>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</si>
  <si>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</si>
  <si>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</si>
  <si>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</si>
  <si>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</si>
  <si>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</si>
  <si>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</si>
  <si>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</si>
  <si>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</si>
  <si>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</si>
  <si>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</si>
  <si>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</si>
  <si>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</si>
  <si>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</si>
  <si>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</si>
  <si>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</si>
  <si>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</si>
  <si>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</si>
  <si>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</si>
  <si>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</si>
  <si>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</si>
  <si>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</si>
  <si>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</si>
  <si>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</si>
  <si>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</si>
  <si>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</si>
  <si>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</si>
  <si>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</si>
  <si>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</si>
  <si>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</si>
  <si>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</si>
  <si>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</si>
  <si>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</si>
  <si>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</si>
  <si>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</si>
  <si>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</si>
  <si>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</si>
  <si>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</si>
  <si>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</si>
  <si>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</si>
  <si>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</si>
  <si>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</si>
  <si>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</si>
  <si>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</si>
  <si>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</si>
  <si>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</si>
  <si>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</si>
  <si>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</si>
  <si>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</si>
  <si>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</si>
  <si>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</si>
  <si>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</si>
  <si>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</si>
  <si>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</si>
  <si>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</si>
  <si>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</si>
  <si>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</si>
  <si>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</si>
  <si>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</si>
  <si>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</si>
  <si>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</si>
  <si>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</si>
  <si>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</si>
  <si>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</si>
  <si>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</si>
  <si>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</si>
  <si>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</si>
  <si>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</si>
  <si>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</si>
  <si>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</si>
  <si>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</si>
  <si>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</si>
  <si>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</si>
  <si>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</si>
  <si>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</si>
  <si>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</si>
  <si>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</si>
  <si>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</si>
  <si>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</si>
  <si>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</si>
  <si>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</si>
  <si>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</si>
  <si>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</si>
  <si>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</si>
  <si>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</si>
  <si>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</si>
  <si>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</si>
  <si>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</si>
  <si>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</si>
  <si>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</si>
  <si>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</si>
  <si>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</si>
  <si>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</si>
  <si>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</si>
  <si>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</si>
  <si>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</si>
  <si>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</si>
  <si>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</si>
  <si>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</si>
  <si>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</si>
  <si>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</si>
  <si>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</si>
  <si>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</si>
  <si>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</si>
  <si>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</si>
  <si>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 xml:space="preserve">Income Tax Calculation </t>
  </si>
  <si>
    <t xml:space="preserve">ITC adjustment </t>
  </si>
  <si>
    <t xml:space="preserve">Excess Deferred Income Tax Adjustment </t>
  </si>
  <si>
    <t xml:space="preserve">Total Income Taxes </t>
  </si>
  <si>
    <t xml:space="preserve">     FIT &amp; SIT &amp; P</t>
  </si>
  <si>
    <t>(Note G)</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</si>
  <si>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</si>
  <si>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</si>
  <si>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</si>
  <si>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</si>
  <si>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</si>
  <si>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</si>
  <si>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</si>
  <si>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</si>
  <si>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</si>
  <si>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</si>
  <si>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</si>
  <si>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</si>
  <si>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</si>
  <si>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</si>
  <si>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</si>
  <si>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</si>
  <si>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</si>
  <si>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</si>
  <si>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</si>
  <si>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</si>
  <si>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</si>
  <si>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</si>
  <si>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</si>
  <si>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</si>
  <si>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</si>
  <si>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</si>
  <si>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</si>
  <si>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</si>
  <si>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</si>
  <si>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</si>
  <si>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354.21.b</t>
  </si>
  <si>
    <t>354.24,25,26.b</t>
  </si>
  <si>
    <t>(14)</t>
  </si>
  <si>
    <t>(15)</t>
  </si>
  <si>
    <t>Transmission O&amp;M Expenses</t>
  </si>
  <si>
    <t>Amortization of Regulatory Asset</t>
  </si>
  <si>
    <t>Depreciation Expense - Transmission</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</si>
  <si>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</si>
  <si>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</si>
  <si>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</si>
  <si>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</si>
  <si>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</si>
  <si>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</si>
  <si>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</si>
  <si>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</si>
  <si>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</si>
  <si>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</si>
  <si>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</si>
  <si>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</si>
  <si>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</si>
  <si>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</si>
  <si>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(16)</t>
  </si>
  <si>
    <t>(Sum Col. 10 &amp; 12 Less Col. 13)</t>
  </si>
  <si>
    <t>(Note J)</t>
  </si>
  <si>
    <t>…</t>
  </si>
  <si>
    <t>Interest</t>
  </si>
  <si>
    <t>Excludes Asset Retirement Obligation balances</t>
  </si>
  <si>
    <t>(Page 2, Line 2, Column 3)</t>
  </si>
  <si>
    <t>Preferred Dividends (118.29c) (positive number)</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</si>
  <si>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</si>
  <si>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</si>
  <si>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</si>
  <si>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</si>
  <si>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</si>
  <si>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</si>
  <si>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</si>
  <si>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</si>
  <si>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</si>
  <si>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</si>
  <si>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</si>
  <si>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</si>
  <si>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</si>
  <si>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</si>
  <si>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</si>
  <si>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</si>
  <si>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</si>
  <si>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</si>
  <si>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</si>
  <si>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</si>
  <si>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</si>
  <si>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</si>
  <si>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</si>
  <si>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Note:</t>
  </si>
  <si>
    <t>List of all reserves:</t>
  </si>
  <si>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</si>
  <si>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</si>
  <si>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</si>
  <si>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</si>
  <si>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</si>
  <si>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</si>
  <si>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</si>
  <si>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</si>
  <si>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</si>
  <si>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</si>
  <si>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</si>
  <si>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</si>
  <si>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</si>
  <si>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</si>
  <si>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</si>
  <si>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</si>
  <si>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</si>
  <si>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</si>
  <si>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</si>
  <si>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</si>
  <si>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</si>
  <si>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</si>
  <si>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</si>
  <si>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</si>
  <si>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</si>
  <si>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</si>
  <si>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</si>
  <si>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</si>
  <si>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</si>
  <si>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</si>
  <si>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</si>
  <si>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</si>
  <si>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</si>
  <si>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</si>
  <si>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</si>
  <si>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</si>
  <si>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</si>
  <si>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</si>
  <si>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</si>
  <si>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</si>
  <si>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</si>
  <si>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</si>
  <si>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</si>
  <si>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</si>
  <si>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</si>
  <si>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</si>
  <si>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</si>
  <si>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</si>
  <si>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</si>
  <si>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</si>
  <si>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</si>
  <si>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</si>
  <si>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</si>
  <si>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</si>
  <si>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</si>
  <si>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</si>
  <si>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</si>
  <si>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</si>
  <si>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</si>
  <si>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</si>
  <si>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</si>
  <si>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</si>
  <si>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</si>
  <si>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</si>
  <si>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</si>
  <si>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</si>
  <si>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</si>
  <si>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</si>
  <si>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</si>
  <si>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</si>
  <si>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</si>
  <si>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</si>
  <si>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Form No. 1</t>
  </si>
  <si>
    <t>321.112.b</t>
  </si>
  <si>
    <t>321.97.b</t>
  </si>
  <si>
    <t>321.96.b</t>
  </si>
  <si>
    <t>Portion of Account 566</t>
  </si>
  <si>
    <t>Balance of Account 566</t>
  </si>
  <si>
    <t>(Note S)</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</si>
  <si>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</si>
  <si>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</si>
  <si>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</si>
  <si>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</si>
  <si>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</si>
  <si>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</si>
  <si>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</si>
  <si>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</si>
  <si>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Collection  (F)-(E)</t>
  </si>
  <si>
    <t>(G) + (H) + (I)</t>
  </si>
  <si>
    <t>5)  Prior Period Adjustment from line 5 is pro rata  to each project, unless the error was project specific.</t>
  </si>
  <si>
    <t>Rate Year being Trued-Up</t>
  </si>
  <si>
    <t>Revenue Requirement Projected</t>
  </si>
  <si>
    <t>For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</si>
  <si>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</si>
  <si>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</si>
  <si>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</si>
  <si>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</si>
  <si>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</si>
  <si>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</si>
  <si>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</si>
  <si>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</si>
  <si>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</si>
  <si>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Competitive Bid Concession</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</si>
  <si>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</si>
  <si>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</si>
  <si>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</si>
  <si>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</si>
  <si>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</si>
  <si>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</si>
  <si>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</si>
  <si>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</si>
  <si>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</si>
  <si>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</si>
  <si>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</si>
  <si>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</si>
  <si>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</si>
  <si>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</si>
  <si>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</si>
  <si>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</si>
  <si>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</si>
  <si>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</si>
  <si>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</si>
  <si>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</si>
  <si>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</si>
  <si>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</si>
  <si>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</si>
  <si>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</si>
  <si>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</si>
  <si>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</si>
  <si>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</si>
  <si>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</si>
  <si>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</si>
  <si>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</si>
  <si>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</si>
  <si>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</si>
  <si>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</si>
  <si>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</si>
  <si>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</si>
  <si>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</si>
  <si>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</si>
  <si>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</si>
  <si>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</si>
  <si>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</si>
  <si>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</si>
  <si>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</si>
  <si>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</si>
  <si>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</si>
  <si>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</si>
  <si>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</si>
  <si>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</si>
  <si>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</si>
  <si>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</si>
  <si>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</si>
  <si>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</si>
  <si>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</si>
  <si>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</si>
  <si>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</si>
  <si>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</si>
  <si>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</si>
  <si>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</si>
  <si>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</si>
  <si>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</si>
  <si>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</si>
  <si>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</si>
  <si>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</si>
  <si>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</si>
  <si>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</si>
  <si>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</si>
  <si>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</si>
  <si>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</si>
  <si>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</si>
  <si>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</si>
  <si>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</si>
  <si>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</si>
  <si>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</si>
  <si>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</si>
  <si>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</si>
  <si>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</si>
  <si>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</si>
  <si>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</si>
  <si>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</si>
  <si>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</si>
  <si>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</si>
  <si>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</si>
  <si>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</si>
  <si>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</si>
  <si>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</si>
  <si>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</si>
  <si>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</si>
  <si>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</si>
  <si>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</si>
  <si>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</si>
  <si>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</si>
  <si>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</si>
  <si>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</si>
  <si>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</si>
  <si>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</si>
  <si>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</si>
  <si>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</si>
  <si>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</si>
  <si>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</si>
  <si>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</si>
  <si>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</si>
  <si>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</si>
  <si>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</si>
  <si>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</si>
  <si>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</si>
  <si>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</si>
  <si>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</si>
  <si>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</si>
  <si>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</si>
  <si>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</si>
  <si>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</si>
  <si>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</si>
  <si>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</si>
  <si>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</si>
  <si>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</si>
  <si>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</si>
  <si>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</si>
  <si>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</si>
  <si>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</si>
  <si>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</si>
  <si>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</si>
  <si>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</si>
  <si>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</si>
  <si>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</si>
  <si>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</si>
  <si>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</si>
  <si>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</si>
  <si>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</si>
  <si>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</si>
  <si>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</si>
  <si>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</si>
  <si>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</si>
  <si>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</si>
  <si>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</si>
  <si>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</si>
  <si>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</si>
  <si>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</si>
  <si>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</si>
  <si>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</si>
  <si>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</si>
  <si>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</si>
  <si>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</si>
  <si>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</si>
  <si>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</si>
  <si>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</si>
  <si>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</si>
  <si>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</si>
  <si>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</si>
  <si>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</si>
  <si>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</si>
  <si>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</si>
  <si>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</si>
  <si>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</si>
  <si>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</si>
  <si>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</si>
  <si>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</si>
  <si>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</si>
  <si>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</si>
  <si>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</si>
  <si>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</si>
  <si>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</si>
  <si>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</si>
  <si>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</si>
  <si>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</si>
  <si>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</si>
  <si>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</si>
  <si>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</si>
  <si>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</si>
  <si>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</si>
  <si>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</si>
  <si>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</si>
  <si>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</si>
  <si>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</si>
  <si>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</si>
  <si>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</si>
  <si>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</si>
  <si>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</si>
  <si>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</si>
  <si>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</si>
  <si>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</si>
  <si>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</si>
  <si>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</si>
  <si>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</si>
  <si>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</si>
  <si>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</si>
  <si>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</si>
  <si>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</si>
  <si>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</si>
  <si>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</si>
  <si>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</si>
  <si>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</si>
  <si>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</si>
  <si>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</si>
  <si>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</si>
  <si>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</si>
  <si>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</si>
  <si>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</si>
  <si>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</si>
  <si>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</si>
  <si>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</si>
  <si>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</si>
  <si>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</si>
  <si>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</si>
  <si>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</si>
  <si>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</si>
  <si>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</si>
  <si>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</si>
  <si>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</si>
  <si>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</si>
  <si>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</si>
  <si>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</si>
  <si>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</si>
  <si>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</si>
  <si>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</si>
  <si>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</si>
  <si>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</si>
  <si>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</si>
  <si>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</si>
  <si>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</si>
  <si>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</si>
  <si>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</si>
  <si>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</si>
  <si>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Attachment 5A - Revenue Credit Workpaper</t>
  </si>
  <si>
    <t>Attachment 5B - A&amp;G Workpaper</t>
  </si>
  <si>
    <t>Attachment 4D - Intangible Plant Workpaper</t>
  </si>
  <si>
    <t>27a</t>
  </si>
  <si>
    <t>Pension Asset</t>
  </si>
  <si>
    <t>From PJM</t>
  </si>
  <si>
    <t xml:space="preserve">  Outstanding Network Credits</t>
  </si>
  <si>
    <t>INTEREST ON NETWORK CREDITS</t>
  </si>
  <si>
    <t xml:space="preserve">  Less Accum. Deprec. associated with Facilities with Outstanding Network Credits</t>
  </si>
  <si>
    <t>219.28.c for end of year, records for other months</t>
  </si>
  <si>
    <t xml:space="preserve">General </t>
  </si>
  <si>
    <t xml:space="preserve">Depreciation Expense - General </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</si>
  <si>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</si>
  <si>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</si>
  <si>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</si>
  <si>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</si>
  <si>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</si>
  <si>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</si>
  <si>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(Attachment 2, Line 28 /100 * Col. 11 * Col. 6)</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</si>
  <si>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</si>
  <si>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</si>
  <si>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</si>
  <si>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</si>
  <si>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</si>
  <si>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</si>
  <si>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</si>
  <si>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</si>
  <si>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</si>
  <si>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</si>
  <si>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</si>
  <si>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</si>
  <si>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</si>
  <si>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</si>
  <si>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</si>
  <si>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</si>
  <si>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</si>
  <si>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</si>
  <si>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</si>
  <si>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</si>
  <si>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</si>
  <si>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</si>
  <si>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Property Insurance</t>
  </si>
  <si>
    <t>Injuries and Damages</t>
  </si>
  <si>
    <t xml:space="preserve">Employee Pensions and Benefits </t>
  </si>
  <si>
    <t>Franchise Requirements</t>
  </si>
  <si>
    <t>Duplicate Charges-Credit</t>
  </si>
  <si>
    <t>Rents</t>
  </si>
  <si>
    <t>Maintenance of General Plant</t>
  </si>
  <si>
    <t>Allocation Factor</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</si>
  <si>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</si>
  <si>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</si>
  <si>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</si>
  <si>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</si>
  <si>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</si>
  <si>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</si>
  <si>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</si>
  <si>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</si>
  <si>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</si>
  <si>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</si>
  <si>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(e)</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</si>
  <si>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</si>
  <si>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</si>
  <si>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</si>
  <si>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</si>
  <si>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</si>
  <si>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</si>
  <si>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</si>
  <si>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</si>
  <si>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</si>
  <si>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t>
  </si>
  <si>
    <t>b0269</t>
  </si>
  <si>
    <t>b0287</t>
  </si>
  <si>
    <t>b1591</t>
  </si>
  <si>
    <t>b0269.6</t>
  </si>
  <si>
    <t>b0171.1</t>
  </si>
  <si>
    <t>b0727</t>
  </si>
  <si>
    <t>b2140</t>
  </si>
  <si>
    <t>b1182</t>
  </si>
  <si>
    <t>b1717</t>
  </si>
  <si>
    <t>b1178</t>
  </si>
  <si>
    <t>b0790</t>
  </si>
  <si>
    <t>b0506</t>
  </si>
  <si>
    <t>b0505</t>
  </si>
  <si>
    <t>b0789</t>
  </si>
  <si>
    <t>b0206</t>
  </si>
  <si>
    <t>b0207</t>
  </si>
  <si>
    <t>b0208</t>
  </si>
  <si>
    <t>b0209</t>
  </si>
  <si>
    <t>b0357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</si>
  <si>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</si>
  <si>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</si>
  <si>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</si>
  <si>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</si>
  <si>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</si>
  <si>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</si>
  <si>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</si>
  <si>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</si>
  <si>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</si>
  <si>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</si>
  <si>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</si>
  <si>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</si>
  <si>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</si>
  <si>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</si>
  <si>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</si>
  <si>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</si>
  <si>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</si>
  <si>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</si>
  <si>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</si>
  <si>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</si>
  <si>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</si>
  <si>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</si>
  <si>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</si>
  <si>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</si>
  <si>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</si>
  <si>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</si>
  <si>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</si>
  <si>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Regulatory Commission Expenses (Note E)</t>
  </si>
  <si>
    <t>Zonal on line 17a refers to all projects not qualifying for regional recovery</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</si>
  <si>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</si>
  <si>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</si>
  <si>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</si>
  <si>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</si>
  <si>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</si>
  <si>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</si>
  <si>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</si>
  <si>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</si>
  <si>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</si>
  <si>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</si>
  <si>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</si>
  <si>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</si>
  <si>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</si>
  <si>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</si>
  <si>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</si>
  <si>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</si>
  <si>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</si>
  <si>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</si>
  <si>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</si>
  <si>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</si>
  <si>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</si>
  <si>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</si>
  <si>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</si>
  <si>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</si>
  <si>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</si>
  <si>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</si>
  <si>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</si>
  <si>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</si>
  <si>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</si>
  <si>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</si>
  <si>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 xml:space="preserve">Electric Distribution </t>
  </si>
  <si>
    <t>Electric Other</t>
  </si>
  <si>
    <t xml:space="preserve">Electric Production </t>
  </si>
  <si>
    <t>323.181.b to 323.196.b</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</si>
  <si>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</si>
  <si>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</si>
  <si>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</si>
  <si>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</si>
  <si>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</si>
  <si>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</si>
  <si>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</si>
  <si>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</si>
  <si>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</si>
  <si>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</si>
  <si>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</si>
  <si>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</si>
  <si>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</si>
  <si>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</si>
  <si>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</si>
  <si>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</si>
  <si>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</si>
  <si>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</si>
  <si>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</si>
  <si>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</si>
  <si>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</si>
  <si>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</si>
  <si>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</si>
  <si>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</si>
  <si>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</si>
  <si>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</si>
  <si>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</si>
  <si>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</si>
  <si>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</si>
  <si>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</si>
  <si>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</si>
  <si>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</si>
  <si>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</si>
  <si>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</si>
  <si>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</si>
  <si>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</si>
  <si>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</si>
  <si>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</si>
  <si>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</si>
  <si>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</si>
  <si>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</si>
  <si>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</si>
  <si>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</si>
  <si>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</si>
  <si>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</si>
  <si>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</si>
  <si>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</si>
  <si>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</si>
  <si>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</si>
  <si>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</si>
  <si>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</si>
  <si>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</si>
  <si>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</si>
  <si>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</si>
  <si>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</si>
  <si>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</si>
  <si>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</si>
  <si>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</si>
  <si>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</si>
  <si>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</si>
  <si>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</si>
  <si>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</si>
  <si>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</si>
  <si>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</si>
  <si>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</si>
  <si>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</si>
  <si>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</si>
  <si>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</si>
  <si>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</si>
  <si>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</si>
  <si>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</si>
  <si>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</si>
  <si>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</si>
  <si>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</si>
  <si>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ACCRUED BENEFITS</t>
  </si>
  <si>
    <t>Excluded because the underlying account(s) are not included in model</t>
  </si>
  <si>
    <t>FAS 112</t>
  </si>
  <si>
    <t xml:space="preserve">Included because plant in service is included in rate base.  </t>
  </si>
  <si>
    <t>Electric General</t>
  </si>
  <si>
    <t>FIN 47 ARO</t>
  </si>
  <si>
    <t>PENSION EXPENSE PROVISION</t>
  </si>
  <si>
    <t>Chichester-Linwood 230 kV Line Upgrades</t>
  </si>
  <si>
    <t>b1900</t>
  </si>
  <si>
    <t>Workers Compensation - short term</t>
  </si>
  <si>
    <t>Workers Compensation - long term</t>
  </si>
  <si>
    <t>Public claims - Short Term</t>
  </si>
  <si>
    <t>Accrued Septa Railroad Rent - transmission</t>
  </si>
  <si>
    <t>Project Depreciation Expense is the actual value booked for the project and included in the Depreciation Expense in Attachment H, page 3, line 14.  Project Depreciation Expense includes the amortization of Abandoned Plant</t>
  </si>
  <si>
    <t xml:space="preserve">  Common - Electric</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</si>
  <si>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</si>
  <si>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</si>
  <si>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</si>
  <si>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Book records estimated accrued compensation; tax deducts only upon the retirement or other separation from service by the employees. Relates to all functions.</t>
  </si>
  <si>
    <t>Employer provided benefits to former employees but before retirement.</t>
  </si>
  <si>
    <t>Book records an accrual in filing year on estimated payouts; tax reverses the accrual and deducts the actual paid out.  Relates to all functions.</t>
  </si>
  <si>
    <t>Book accrues and capitalizes anticipated Pension costs based on actuarial analysis.  Tax deducts or capitalizes retirement benefits only when the amounts are paid.  Related to all functions.</t>
  </si>
  <si>
    <t xml:space="preserve">Book accrues anticipated post retirement costs based on actuarial analysis.  Tax deducts retirement benefits only when the amounts are paid or contributed to a fund. </t>
  </si>
  <si>
    <t>Retail related</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</si>
  <si>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</si>
  <si>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</si>
  <si>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</si>
  <si>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plant in service is included in rate base.</t>
  </si>
  <si>
    <t>Related to Distribution property.</t>
  </si>
  <si>
    <t xml:space="preserve">Book recapitalizes costs incurred to retire or reacquire debt issuances.  Tax deducts these costs when incurred. </t>
  </si>
  <si>
    <t>Gross Up on State Def Tax Adj- AMR Reg Asset</t>
  </si>
  <si>
    <t>The book expense on Jan 1 of calendar year; accelerated tax expense taken in previous calendar year. Related to all functions.</t>
  </si>
  <si>
    <t>OCI-Def FIT &amp; SIT</t>
  </si>
  <si>
    <t>PURTA</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</si>
  <si>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</si>
  <si>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</si>
  <si>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</si>
  <si>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</si>
  <si>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</si>
  <si>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</si>
  <si>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</si>
  <si>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</si>
  <si>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</si>
  <si>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</si>
  <si>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</si>
  <si>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</si>
  <si>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</si>
  <si>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</si>
  <si>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</si>
  <si>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Electric Labor (354.28.b)</t>
  </si>
  <si>
    <t>the January 24, 2017 Willis Towers Watson report on PBOPs for PECO.</t>
  </si>
  <si>
    <t>(A)</t>
  </si>
  <si>
    <t>(B)</t>
  </si>
  <si>
    <t>(C)</t>
  </si>
  <si>
    <t>(D)</t>
  </si>
  <si>
    <t>(E)</t>
  </si>
  <si>
    <t>(F)</t>
  </si>
  <si>
    <t>(G)</t>
  </si>
  <si>
    <t>(H)</t>
  </si>
  <si>
    <t>(I)</t>
  </si>
  <si>
    <t>(J)</t>
  </si>
  <si>
    <t>Gross Depreciable</t>
  </si>
  <si>
    <t>Accumulated</t>
  </si>
  <si>
    <t>Depreciation</t>
  </si>
  <si>
    <t>Estimated</t>
  </si>
  <si>
    <t>Mortality</t>
  </si>
  <si>
    <t>Weighted Average</t>
  </si>
  <si>
    <t>Expense</t>
  </si>
  <si>
    <t>Number</t>
  </si>
  <si>
    <t>Plant Type</t>
  </si>
  <si>
    <t>Life</t>
  </si>
  <si>
    <t>Curve</t>
  </si>
  <si>
    <t>Remaining Life</t>
  </si>
  <si>
    <t>Structures and Improvements</t>
  </si>
  <si>
    <t>Station Equipment</t>
  </si>
  <si>
    <t>Towers and Fixtures</t>
  </si>
  <si>
    <t>R4</t>
  </si>
  <si>
    <t>Poles and Fixtures</t>
  </si>
  <si>
    <t>Overhead Conductors and Devices</t>
  </si>
  <si>
    <t>Underground Conduit</t>
  </si>
  <si>
    <t>Underground Conductors and Devices</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</si>
  <si>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</si>
  <si>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</si>
  <si>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</si>
  <si>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</si>
  <si>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</si>
  <si>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</si>
  <si>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</si>
  <si>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</si>
  <si>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</si>
  <si>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</si>
  <si>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</si>
  <si>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</si>
  <si>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</si>
  <si>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</si>
  <si>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</si>
  <si>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</si>
  <si>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</si>
  <si>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N/A</t>
  </si>
  <si>
    <t>Regulatory Initiatives/Depr Charged to Reg Asset</t>
  </si>
  <si>
    <t>Transportation Equipment - Automobiles</t>
  </si>
  <si>
    <t>Transportation Equipment - Light Trucks</t>
  </si>
  <si>
    <t>L4</t>
  </si>
  <si>
    <t>Transportation Equipment - Heavy Trucks</t>
  </si>
  <si>
    <t>Transportation Equipment - Tractors</t>
  </si>
  <si>
    <t>L2</t>
  </si>
  <si>
    <t>Transportation Equipment - Trailers</t>
  </si>
  <si>
    <t>Transportation Equipment - Other Vehicles</t>
  </si>
  <si>
    <t>Tools, Shop, Garage Equipment - Construction Tools</t>
  </si>
  <si>
    <t>Tools, Shop, Garage Equipment - Common Tools</t>
  </si>
  <si>
    <t>Tools, Shop, Garage Equipment - Garage Equipment</t>
  </si>
  <si>
    <t>Power Operated Equipment</t>
  </si>
  <si>
    <t>At least every 5 years, PECO Energy Company will file with the Commission a depreciation study supporting its existing Estimated Life and Mortality Curve for each account or subaccount.</t>
  </si>
  <si>
    <t>North Wales-Whitpain 230 kV Line Re-conductor</t>
  </si>
  <si>
    <t>Chichester-Mickleton 230 kV Line Re-conductor</t>
  </si>
  <si>
    <t>Net Depreciable</t>
  </si>
  <si>
    <t>Note 2</t>
  </si>
  <si>
    <t>(I)=(G)-(H)</t>
  </si>
  <si>
    <t>Column (I) is the end of year depreciable net plant in the account or subaccount.</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</si>
  <si>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</si>
  <si>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</si>
  <si>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</si>
  <si>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</si>
  <si>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</si>
  <si>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</si>
  <si>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</si>
  <si>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</si>
  <si>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</si>
  <si>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</si>
  <si>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</si>
  <si>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</si>
  <si>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</si>
  <si>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</si>
  <si>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</si>
  <si>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</si>
  <si>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</si>
  <si>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</si>
  <si>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</si>
  <si>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</si>
  <si>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</si>
  <si>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</si>
  <si>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</si>
  <si>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</si>
  <si>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</si>
  <si>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</si>
  <si>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</si>
  <si>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</si>
  <si>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</si>
  <si>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</si>
  <si>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</si>
  <si>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</si>
  <si>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</si>
  <si>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</si>
  <si>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</si>
  <si>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</si>
  <si>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</si>
  <si>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(enter negative) Attachment 4E, Line 66, Col (x)</t>
  </si>
  <si>
    <t>Attachment 5, Line 2, Col. (c)</t>
  </si>
  <si>
    <t>Attachment 5, Line 2, Col. (d)</t>
  </si>
  <si>
    <t>Attachment 5, Line 2, Col. (f)</t>
  </si>
  <si>
    <t>Attachment 5, Line 2, Col. (g)</t>
  </si>
  <si>
    <t>Attachment 5, Line 2, Col. (h)</t>
  </si>
  <si>
    <t>Attachment 5, Line 2, Col. (k) (Note W)</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</si>
  <si>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</si>
  <si>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</si>
  <si>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</si>
  <si>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</si>
  <si>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</si>
  <si>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</si>
  <si>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</si>
  <si>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</si>
  <si>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</si>
  <si>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</si>
  <si>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</si>
  <si>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</si>
  <si>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</si>
  <si>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</si>
  <si>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</si>
  <si>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</si>
  <si>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</si>
  <si>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</si>
  <si>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</si>
  <si>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</si>
  <si>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</si>
  <si>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</si>
  <si>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</si>
  <si>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</si>
  <si>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</si>
  <si>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</si>
  <si>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</si>
  <si>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</si>
  <si>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Zonal Load</t>
  </si>
  <si>
    <t>1 CP from PJM in MW</t>
  </si>
  <si>
    <t xml:space="preserve">Network Integration Transmission Service rate for PECO Zone </t>
  </si>
  <si>
    <t>(line 9/11)</t>
  </si>
  <si>
    <t>Note 4</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</si>
  <si>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</si>
  <si>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</si>
  <si>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</si>
  <si>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</si>
  <si>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</si>
  <si>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</si>
  <si>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</si>
  <si>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</si>
  <si>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</si>
  <si>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</si>
  <si>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</si>
  <si>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</si>
  <si>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</si>
  <si>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</si>
  <si>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Excludes ARO amounts.</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</si>
  <si>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</si>
  <si>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</si>
  <si>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</si>
  <si>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</si>
  <si>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</si>
  <si>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</si>
  <si>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</si>
  <si>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</si>
  <si>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</si>
  <si>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</si>
  <si>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</si>
  <si>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</si>
  <si>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</si>
  <si>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</si>
  <si>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</si>
  <si>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</si>
  <si>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</si>
  <si>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</si>
  <si>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</si>
  <si>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Administrative &amp; General - Total (Sum of lines 1-14)</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</si>
  <si>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</si>
  <si>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</si>
  <si>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</si>
  <si>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</si>
  <si>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</si>
  <si>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</si>
  <si>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</si>
  <si>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</si>
  <si>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</si>
  <si>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</si>
  <si>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</si>
  <si>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ATTACHMENT H-7A</t>
  </si>
  <si>
    <t>FORMULA RATE TEMPLATE</t>
  </si>
  <si>
    <t>(Note E)</t>
  </si>
  <si>
    <t xml:space="preserve">Amortized Investment Tax Credit Consistent with (266.8.f &amp; 266.17.f) - Transmission </t>
  </si>
  <si>
    <t>Attachment 4E, Line 11, Col. (x)</t>
  </si>
  <si>
    <t>30g</t>
  </si>
  <si>
    <t>30h</t>
  </si>
  <si>
    <t xml:space="preserve">Calculate using 13 month average balance, except ADIT. SERP will not be included as an unfunded reserve in the formula rate. </t>
  </si>
  <si>
    <t xml:space="preserve">3) "Revenue Received" on line 3 Zonal, Col. (E), is the total amount of revenue received for the True-Up Year under PJM OATT Attachments 7, 8 and H-7 and "Revenue Received" on letter-denominated line 3 entries, Col. (E), is the amount of revenue received for the True-Up </t>
  </si>
  <si>
    <t>Year for the project designated in Cols. A and B under PJM OATT Schedule 12 PECO Appendix and PECO Appendix A as reported on pages 328-330 of the Form No 1. The Revenue Received in Col. E excludes any True-Up revenues</t>
  </si>
  <si>
    <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</si>
  <si>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Z</t>
  </si>
  <si>
    <t>A cap on the equity percentage of PECO’s capital structure shall be 55.75%.</t>
  </si>
  <si>
    <t>7 years</t>
  </si>
  <si>
    <t>Non-Protected Property:</t>
  </si>
  <si>
    <t>Non-Protected Property (Note A)</t>
  </si>
  <si>
    <t>Non-Protected, Non-Property - Pension Asset  (Note A)</t>
  </si>
  <si>
    <t>Non-Protected, Non-Property - Non-Pension Asset (Note A)</t>
  </si>
  <si>
    <t>Total Non-Protected, Non-Property (Note A)</t>
  </si>
  <si>
    <t>ARAM</t>
  </si>
  <si>
    <t xml:space="preserve">Non-Protected, Non-Property: </t>
  </si>
  <si>
    <t>5 years</t>
  </si>
  <si>
    <t xml:space="preserve">Protected: </t>
  </si>
  <si>
    <t>All ADIT-190, ADIT-282, and ADIT-283 amounts reflected on Attachment 4C must be based on a timing difference between book expense recognition and expense recognition for tax purposes.</t>
  </si>
  <si>
    <t>Outside Service Employed (Note E)</t>
  </si>
  <si>
    <t>13 Month Average Pension Asset (Note A)</t>
  </si>
  <si>
    <t>A: PECO’s transmission-related Pension Asset balance is capped at $33 million.  Such limit may only be changed pursuant to a section 205 or 206 filing.</t>
  </si>
  <si>
    <t>Average ADIT Balance Related to Transmission Pension Asset</t>
  </si>
  <si>
    <t>Prior Year ADIT Related to Transmission Pension Asset</t>
  </si>
  <si>
    <t>Current Year ADIT Related to Transmission Pension Asset</t>
  </si>
  <si>
    <t>Net Pension Asset</t>
  </si>
  <si>
    <t>100% of ATRR on Net Pension Asset</t>
  </si>
  <si>
    <t>ATRR Discount on Net Pension Asset</t>
  </si>
  <si>
    <t>Pension Asset Discount Worksheet</t>
  </si>
  <si>
    <t>48a</t>
  </si>
  <si>
    <t>Attachment 10</t>
  </si>
  <si>
    <t>Attachment 9</t>
  </si>
  <si>
    <t>(15a)</t>
  </si>
  <si>
    <t>Additional Refund (Note Q)</t>
  </si>
  <si>
    <t>Sum Col. 14, 15 &amp; 15(a) 
(Note G)</t>
  </si>
  <si>
    <t>General</t>
  </si>
  <si>
    <t>Transmission Allocation %</t>
  </si>
  <si>
    <t>Allocated to Transmission</t>
  </si>
  <si>
    <t>Common (To Be Split TDG)</t>
  </si>
  <si>
    <t>Total Protected Property</t>
  </si>
  <si>
    <t>Protected Property</t>
  </si>
  <si>
    <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t>
  </si>
  <si>
    <t xml:space="preserve">Tax Effect of Permanent Differences - Transmission </t>
  </si>
  <si>
    <t>Long Term Interest (117, sum of 62.c through 67.c), Excluding LVT Interest (Note G)</t>
  </si>
  <si>
    <t xml:space="preserve">All short-term interest related expense will be removed from the formula rate template. </t>
  </si>
  <si>
    <t>Amortization of Regulatory Asset for Environmental Remediation of Manufactured Gas Plants shall be excluded from the formula rate.</t>
  </si>
  <si>
    <t>Additional refund $850,00 per year for 2018-2021 and $0 for 2022 and beyond.</t>
  </si>
  <si>
    <t>(Attachment H-7 Note G)</t>
  </si>
  <si>
    <t>(Attachment H-7 Note W)</t>
  </si>
  <si>
    <t>Attachment 4E - Cost to Achieve Mergers (Note A)</t>
  </si>
  <si>
    <t xml:space="preserve">A: Merger-related costs incurred during hold harmless period are to be excluded from rate unless approved by FERC order. </t>
  </si>
  <si>
    <t>(Line 11, Col ($) / Line 13, Col ($))</t>
  </si>
  <si>
    <t>(100% - Line 11, Col (%) - Line 12, Col (%))</t>
  </si>
  <si>
    <t>(Line 12, Col ($) / Line 13, Col ($))</t>
  </si>
  <si>
    <t>Center Point 500-230 kV Substation Addition</t>
  </si>
  <si>
    <t>Elroy 500 kV Dynamic Reactive Device</t>
  </si>
  <si>
    <t>Heaton 230 kV Capacitor Bank Addition</t>
  </si>
  <si>
    <t>Environmental Liab - Superfund</t>
  </si>
  <si>
    <t xml:space="preserve">Accrued Severance Plans </t>
  </si>
  <si>
    <t xml:space="preserve">PECO is in a net operating loss situation, therefore, losses are carried forward until such losses can be applied to taxable income. </t>
  </si>
  <si>
    <t>Book records a payroll tax accrual; tax reverses the accrual and deducts the actual amount paid out.  Relates to all functions.</t>
  </si>
  <si>
    <t>24e</t>
  </si>
  <si>
    <t>Tower Rentals and Land Leasing - Transmission</t>
  </si>
  <si>
    <t>Tower Rentals and Land Leasing - Distribution</t>
  </si>
  <si>
    <t>Mutual Assistance</t>
  </si>
  <si>
    <t>Transmission Enhancement</t>
  </si>
  <si>
    <t>26e</t>
  </si>
  <si>
    <t>30i</t>
  </si>
  <si>
    <t>30j</t>
  </si>
  <si>
    <t>Transportation Equipment -Medium Trucks</t>
  </si>
  <si>
    <t xml:space="preserve">Note: </t>
  </si>
  <si>
    <t>Transmission Allocation % (L 4 * Electric Factor in FERC Form 1 P356)</t>
  </si>
  <si>
    <t>Attach H-7, p 3, lines 47  and 48a col 5</t>
  </si>
  <si>
    <t>2a</t>
  </si>
  <si>
    <t xml:space="preserve">Additional Annual Refund (from 2018 to 2021) </t>
  </si>
  <si>
    <t>Attachment 1, line 17, col 15a</t>
  </si>
  <si>
    <t>Long Term Debt balance will reflect the 13 month average of the balances, of which the 1st and 13th are found on page 112 lines 18.c &amp; d to 21.c &amp; d in the Form No. 1.</t>
  </si>
  <si>
    <t>Requirement (Note C)</t>
  </si>
  <si>
    <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</si>
  <si>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(line 1 minus lines 2 and 2a)</t>
  </si>
  <si>
    <t xml:space="preserve">Enter 1 if NOT in a trust or reserved account, enter zero (0) if included in a trust or reserved account </t>
  </si>
  <si>
    <t xml:space="preserve">                          References to data from FERC Form 1 are indicated as:  #.y.x  (page, line, column)</t>
  </si>
  <si>
    <t>Calculated using 13 month average balance, except ADIT.</t>
  </si>
  <si>
    <t>The data of the annual amortization amount and balance are from PECO's Tax Accounting records.</t>
  </si>
  <si>
    <t>The amortization schedule of the EDIT balance related to Tax Cuts and Job Act of 2017 shall be consistent with the following periods:</t>
  </si>
  <si>
    <t>EDIT Amortization Amount (Note C)</t>
  </si>
  <si>
    <t>EDIT Balance (Notes C and D)</t>
  </si>
  <si>
    <t>Prior and Current December Average</t>
  </si>
  <si>
    <t>The FERC Quarterly Interest Rate in column [A] is the interest applicable to the Month indicated.</t>
  </si>
  <si>
    <t>2) From Attachment 1, line 17, col. 14, less col. 15(a) for each project and Attachment H-7, line 7 for zonal.</t>
  </si>
  <si>
    <t>Attachment 11</t>
  </si>
  <si>
    <t>Cost of Capital</t>
  </si>
  <si>
    <t>Long Term Interest (117, lines 62 through 67), Excluding LVT Interest</t>
  </si>
  <si>
    <t>Interest on Long-Term Debt (427)</t>
  </si>
  <si>
    <t xml:space="preserve">Amort. of Debt Disc. and Expense (428) </t>
  </si>
  <si>
    <t>(Less) Amort. of Premium on Debt-Credit (429)</t>
  </si>
  <si>
    <t>Interest on Debt to Assoc. Companies (430)</t>
  </si>
  <si>
    <t>(Less) Short-term Interest (5-P3 Support Note G)</t>
  </si>
  <si>
    <t>Total Long Term Interest (Line 1 + Line 2 + Line 3 - Line 4 - Line 5 + Line 6 - Line 7)</t>
  </si>
  <si>
    <t xml:space="preserve">13-Month Average Balance of Long-term Debt, </t>
  </si>
  <si>
    <t>Long -term Debt (112, Lines 18 through 21)</t>
  </si>
  <si>
    <t>13-Month Average</t>
  </si>
  <si>
    <t>Bonds (221)</t>
  </si>
  <si>
    <t>Advances from Associated Companies (223)</t>
  </si>
  <si>
    <t>Other Long-Term Debt (224)</t>
  </si>
  <si>
    <t>Total (Line 9 - Line 10 + Line 11 + Line 12)</t>
  </si>
  <si>
    <t>Proprietary Capital (112, line 2 through 15)</t>
  </si>
  <si>
    <t>Common stock issued (201)</t>
  </si>
  <si>
    <t>Preferred Stock (204) (112.3.c) (5-P3 Support Note B)</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</si>
  <si>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</si>
  <si>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</si>
  <si>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</si>
  <si>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</si>
  <si>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</si>
  <si>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</si>
  <si>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(214)</t>
  </si>
  <si>
    <t>Retained Earning s(215, 215.1, 216)</t>
  </si>
  <si>
    <t>Unappropriated Undistributed Subsidiary Earnings (216.1)</t>
  </si>
  <si>
    <t>Noncorporate Proprietorship (Non-major only) (218)</t>
  </si>
  <si>
    <t>Accumulated other Comprehensive Income (219)</t>
  </si>
  <si>
    <t>Total Proprietary Capital (Line 14+ Line 15 + Line 16 + Line 17 + Line 18 + Line 19 + Line 20 - Line 21 - Line 22 + Line 23 + Line 24 - Line 25 + Line 26 + Line 27)</t>
  </si>
  <si>
    <t>Preferred Stock   (line 15)</t>
  </si>
  <si>
    <t>Common Stock   (line 28 -  line 29)</t>
  </si>
  <si>
    <t>Proprietary Capital</t>
  </si>
  <si>
    <t>Less Preferred Stock</t>
  </si>
  <si>
    <t>Less Account 216.1 (enter negative) (Note D)</t>
  </si>
  <si>
    <t>Less Account 219.1 (enter negative)</t>
  </si>
  <si>
    <t>Preferred Stock (Note B)</t>
  </si>
  <si>
    <t>Common Stock (Note C)</t>
  </si>
  <si>
    <t>Long Term Debt (Note A)</t>
  </si>
  <si>
    <t xml:space="preserve">     Less Account 566 (Misc Trans Expense) (enter negative)</t>
  </si>
  <si>
    <t xml:space="preserve">     Less Account 565 (enter negative)</t>
  </si>
  <si>
    <t xml:space="preserve">     Less Accounts 561.4 and 561.8  (enter negative)</t>
  </si>
  <si>
    <t xml:space="preserve">   Less  O&amp;M Cost to Achieve Included in O&amp;M Above  (enter negative)</t>
  </si>
  <si>
    <t>(Sum of Lines 1 to 5, 9, 10  and 11)</t>
  </si>
  <si>
    <t xml:space="preserve">Excess Deferred Income Tax Amortization - Transmission </t>
  </si>
  <si>
    <t>Amortized Investment Tax Credit (enter negative)</t>
  </si>
  <si>
    <t>Attachment 5, Line 2, Col. (i)</t>
  </si>
  <si>
    <t>Excess Deferred Income Taxes  (enter negative)</t>
  </si>
  <si>
    <t>Attachment 5, Line 2, Col. (j)</t>
  </si>
  <si>
    <t>Net Pension Asset ATRR Discount (enter negative)</t>
  </si>
  <si>
    <t>Attachment 10, Line 9</t>
  </si>
  <si>
    <t>REVENUE REQUIREMENT</t>
  </si>
  <si>
    <t>Transmission-Related Pension Asset booked to Account 186</t>
  </si>
  <si>
    <t>Cash Working Capital assigned to transmission is one-eighth of O&amp;M allocated to transmission at page 3, line 12, column 5 minus amortization of Regulatory Asset at page 3, line 7, column 5. For Prepayments, refer to Note K in Attachment 4.</t>
  </si>
  <si>
    <t xml:space="preserve">Facilities </t>
  </si>
  <si>
    <t>Fleet Activity</t>
  </si>
  <si>
    <t>Membership dues</t>
  </si>
  <si>
    <t>Postage</t>
  </si>
  <si>
    <t>Prepaid property tax</t>
  </si>
  <si>
    <t>Retention Incentive</t>
  </si>
  <si>
    <t>Prior Year End Total</t>
  </si>
  <si>
    <t>Prior Year Allocated to T</t>
  </si>
  <si>
    <t>Current Year Allocated to T</t>
  </si>
  <si>
    <t>k1</t>
  </si>
  <si>
    <t>k2</t>
  </si>
  <si>
    <t>k3</t>
  </si>
  <si>
    <t>k4</t>
  </si>
  <si>
    <t>k5</t>
  </si>
  <si>
    <t>k6</t>
  </si>
  <si>
    <t>k7</t>
  </si>
  <si>
    <t>k8</t>
  </si>
  <si>
    <t>k9</t>
  </si>
  <si>
    <t>k10</t>
  </si>
  <si>
    <t>k11</t>
  </si>
  <si>
    <t>k12</t>
  </si>
  <si>
    <t>k13</t>
  </si>
  <si>
    <t>k14</t>
  </si>
  <si>
    <t>k15</t>
  </si>
  <si>
    <t>k16</t>
  </si>
  <si>
    <t>k17</t>
  </si>
  <si>
    <t>k18</t>
  </si>
  <si>
    <t>k19</t>
  </si>
  <si>
    <t>k20</t>
  </si>
  <si>
    <t>k21</t>
  </si>
  <si>
    <t>Kxxx</t>
  </si>
  <si>
    <t>Total Sum(lines K1 to Kxxx)</t>
  </si>
  <si>
    <t>(Attachment 9 line 24 "Average")</t>
  </si>
  <si>
    <t>(Attachment 4, line 28(i))</t>
  </si>
  <si>
    <t>(Attachment 4B "PENSION EXPENSE PROVISION" times S&amp;W Allocator)</t>
  </si>
  <si>
    <t>(Attachment 4C "PENSION EXPENSE PROVISION" times S&amp;W Allocator)</t>
  </si>
  <si>
    <t>(Average of Lines 2 and 3)</t>
  </si>
  <si>
    <t>Net ADIT Balance</t>
  </si>
  <si>
    <t>Net Unamortized EDIT Balance</t>
  </si>
  <si>
    <t>(Line 1 plus Line 4 plus Line 5)</t>
  </si>
  <si>
    <t>(Line 6 times Attachment H-7 page 3, line 34, col (3) times (1+Attachment H-7 page 4, line 18, col (5))</t>
  </si>
  <si>
    <t>(Line 7 times Line 8)</t>
  </si>
  <si>
    <t>Attachment H-7, Pages 3 and 4, Worksheet</t>
  </si>
  <si>
    <t>Attachment H-7, Page 3, Line No.:</t>
  </si>
  <si>
    <t>Attachment H-7, Page 3, Line Number</t>
  </si>
  <si>
    <t>Gas Labor sum (355.62.b)</t>
  </si>
  <si>
    <t>Transmission Allocation % (Att H-7 P4, L11, Col 5)</t>
  </si>
  <si>
    <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t>
  </si>
  <si>
    <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t>
  </si>
  <si>
    <t>Company shall include only gains and losses on interest rate locks associated with debt issuances.  Absent a Section 205 filing, Company shall not include in the Formula Rate, the gains, losses, or costs related to other hedges.</t>
  </si>
  <si>
    <t>ROE will be supported in the original filing and no change in ROE may be made absent FERC authorization pursuant to a section 205 or section 206.</t>
  </si>
  <si>
    <t>True-Up Adjustment is calculated on the Attachment 3 Project True-up Schedule for the Rate Year</t>
  </si>
  <si>
    <t>The Net Rev Req is the value to be used in the rate calculation under the applicable Schedule 12 under the PJM OATT for each project.</t>
  </si>
  <si>
    <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t>
  </si>
  <si>
    <t>EDIT balance was reclassified from ADIT to EDIT in December 2017.</t>
  </si>
  <si>
    <t>Times Pension Discount %</t>
  </si>
  <si>
    <t>Accrual of future removal/retirements.  Book recognized the expense estimate accrual, tax recognizes when paid. Related to all functions. ARO must be approved by FERC in order to include amounts.</t>
  </si>
  <si>
    <t>The Non-Protected Property EDIT balance shall be fully amortized by the end of 2024 and the Non-Protected, non-Property EDIT balance shall be fully amortized by the end of 2022.</t>
  </si>
  <si>
    <t>Unamortized Abandoned Plant and Amortization of Abandoned Plant will be zero until FERC explicitly approves recovery of the cost of abandoned plant pursuant to Section 205 of the FPA.</t>
  </si>
  <si>
    <t xml:space="preserve">Only Transmission </t>
  </si>
  <si>
    <t>Gas, Prod, Retail</t>
  </si>
  <si>
    <t>Or Other Related</t>
  </si>
  <si>
    <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t>
  </si>
  <si>
    <t>31a</t>
  </si>
  <si>
    <t>31b</t>
  </si>
  <si>
    <t>31c</t>
  </si>
  <si>
    <t xml:space="preserve">  Unamortized EDIT Balance - Protected Property (enter negative)</t>
  </si>
  <si>
    <t>Attachment 9 - EDIT, Line 22, Col. (n)</t>
  </si>
  <si>
    <t xml:space="preserve">  Unamortized EDIT Balance - Non-Protected Property (enter negative)</t>
  </si>
  <si>
    <t xml:space="preserve">  Unamortized EDIT Balance - Non-Protected, Non-Property (enter negative)</t>
  </si>
  <si>
    <t>Attachment 9 - EDIT, Line 23, Col. (n)</t>
  </si>
  <si>
    <t>Attachment 9 - EDIT, Line 26, Col. (n)</t>
  </si>
  <si>
    <t>Current Year End Total</t>
  </si>
  <si>
    <t>Attachment 5C - Taxes Other Than Income</t>
  </si>
  <si>
    <t>Page 263</t>
  </si>
  <si>
    <t>Col (i)</t>
  </si>
  <si>
    <t>Federal Unemployment</t>
  </si>
  <si>
    <t>Criteria for Allocation:</t>
  </si>
  <si>
    <t xml:space="preserve">Other taxes that are incurred through ownership of plant including transmission plant will be allocated based on the Gross Plant </t>
  </si>
  <si>
    <t>Allocator.  If the taxes are 100% recovered at retail they shall not be included.</t>
  </si>
  <si>
    <t>Other taxes that are incurred through ownership of only general or intangible plant will be allocated based on the Wages and Salary</t>
  </si>
  <si>
    <t>Other taxes that are assessed based on labor will be allocated based on the Wages and Salary Allocator.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</si>
  <si>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</si>
  <si>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</si>
  <si>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</si>
  <si>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Excludes prior period adjustments in the first year of the formula's operation and reconciliation for the first year.</t>
  </si>
  <si>
    <t>Total Plant Related (Total Lines 1)</t>
  </si>
  <si>
    <t>Total Labor Related (Total Lines 2)</t>
  </si>
  <si>
    <t>2b</t>
  </si>
  <si>
    <t>2c</t>
  </si>
  <si>
    <t>Total Other Included (Total Lines 3)</t>
  </si>
  <si>
    <t>Total Included  (Lines 1 to 3)</t>
  </si>
  <si>
    <t>Taxes Other Than Income</t>
  </si>
  <si>
    <t>5a</t>
  </si>
  <si>
    <t>5b</t>
  </si>
  <si>
    <t>5c</t>
  </si>
  <si>
    <t>Total Taxes Other Than Income, Included and Excluded (Lines 4 and 5)</t>
  </si>
  <si>
    <t>Difference  (Line 6 - Line 7)</t>
  </si>
  <si>
    <t>Total Taxes Other Income from p115.14.g</t>
  </si>
  <si>
    <t>Plant Related, Subject to Gross Plant Allocator</t>
  </si>
  <si>
    <t>Other Included, Subject to Gross Plant Allocator</t>
  </si>
  <si>
    <t>Labor Related, Subject to Wages &amp; Salary Allocator</t>
  </si>
  <si>
    <t>9a</t>
  </si>
  <si>
    <t>9b</t>
  </si>
  <si>
    <t>Attachment 5C Line 2</t>
  </si>
  <si>
    <t>Attachment 5C Line 1</t>
  </si>
  <si>
    <t>Labor Related Taxes</t>
  </si>
  <si>
    <t>Plant Related Taxes</t>
  </si>
  <si>
    <t>Attachment 5C Line 5</t>
  </si>
  <si>
    <t>Other Included Taxes</t>
  </si>
  <si>
    <t>Attachment 5C Line 3</t>
  </si>
  <si>
    <t>Labor Related Taxes to be Excluded</t>
  </si>
  <si>
    <t>Plant Related Taxes to be Excluded</t>
  </si>
  <si>
    <t xml:space="preserve">         Plant Related Taxes to be Excluded</t>
  </si>
  <si>
    <t xml:space="preserve">(c) </t>
  </si>
  <si>
    <t>(d) (Note F)</t>
  </si>
  <si>
    <t>(h) (Note F)</t>
  </si>
  <si>
    <t>Labor and Plant related taxes due to merger are to be excluded consistent with hold harmless commitment.</t>
  </si>
  <si>
    <t>ADIT-190 (Attachment H-7 Notes P and Q)</t>
  </si>
  <si>
    <t>ADIT- 282 (Attachment H-7 Notes N and Q)</t>
  </si>
  <si>
    <t>ADIT-283 (Attachment H-7 Notes O, P and Q)</t>
  </si>
  <si>
    <t>Excess / (Deficient) Deferred Income Taxes (Note B and Attachment H-7 Notes N, O and P)</t>
  </si>
  <si>
    <t>Allocation To Transmission</t>
  </si>
  <si>
    <t>Allocation from Total To Electric (Note K)</t>
  </si>
  <si>
    <t>Allocation from Electric to Transmission (Note K)</t>
  </si>
  <si>
    <t>Total Excluded Taxes Other Than Income (Total Lines 5)</t>
  </si>
  <si>
    <t>10a</t>
  </si>
  <si>
    <t>10b</t>
  </si>
  <si>
    <t>Total Labor Related Taxes to be Excluded (Total Lines 9)</t>
  </si>
  <si>
    <t>Total Plant Related Taxes to be Excluded (Total Lines 10)</t>
  </si>
  <si>
    <t>Attachment 5C Line 9</t>
  </si>
  <si>
    <t>Attachment 5C Line 10</t>
  </si>
  <si>
    <t>Items Included in Line 4, that Are To Be Excluded from Formula Per Attachment 5-P3 Support Note F (Enter Negative)</t>
  </si>
  <si>
    <t>Taxes Other Than Income Excluded Per Notes A to E</t>
  </si>
  <si>
    <t xml:space="preserve">         Excluded Taxes Per Attchment 5C Line 5</t>
  </si>
  <si>
    <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t>
  </si>
  <si>
    <t xml:space="preserve">ADIT, Excess/(Deficient) ADIT and the amortizaiton of Excess/(Deficient) ADIT related to Accrued Benefits, Deferred Compensation, Vacation pay Change in Provision and Accrued Vacation shall be excluded from the formula rate. </t>
  </si>
  <si>
    <t>All items related to Contributions in Aid of Construction (CIAC), including investment in CIAC and CIAC related ADIT, excess/(deficient) ADIT and amortization of excess/(deficient) ADIT shall be excluded from the formula rate.</t>
  </si>
  <si>
    <t>Plant (Year End Balance)</t>
  </si>
  <si>
    <t>(J)=(F)*(G)</t>
  </si>
  <si>
    <t>Software - 2-year Life (Note 10)</t>
  </si>
  <si>
    <t>Software - 3-year Life (Note 10)</t>
  </si>
  <si>
    <t>Software - 4-year Life (Note 10)</t>
  </si>
  <si>
    <t>Software - 5-year Life (Note 10)</t>
  </si>
  <si>
    <t>Software - 7-year Life (Note 10)</t>
  </si>
  <si>
    <t>Software - 10-year Life (Note 10)</t>
  </si>
  <si>
    <t>Software - 13-year Life (Note 10)</t>
  </si>
  <si>
    <t>Software - 15-year Life (Note 10)</t>
  </si>
  <si>
    <t>Software - Transmission 2-year Life (Note 10)</t>
  </si>
  <si>
    <t>Software - Transmission 3-year Life (Note 10)</t>
  </si>
  <si>
    <t>Software - Transmission 4-year Life (Note 10)</t>
  </si>
  <si>
    <t>Software - Transmission 5-year Life (Note 10)</t>
  </si>
  <si>
    <t>Software - Transmission 7-year Life (Note 10)</t>
  </si>
  <si>
    <t>Software - Transmission 10-year Life (Note 10)</t>
  </si>
  <si>
    <t>Software - Transmission 13-year Life (Note 10)</t>
  </si>
  <si>
    <t>Software - Transmission 15-year Life (Note 10)</t>
  </si>
  <si>
    <t>Software - Electric General 2-year Life (Note 10)</t>
  </si>
  <si>
    <t>Software - Electric General 3-year Life (Note 10)</t>
  </si>
  <si>
    <t>Software - Electric General 4-year Life (Note 10)</t>
  </si>
  <si>
    <t>Software - Electric General 5-year Life (Note 10)</t>
  </si>
  <si>
    <t>Software - Electric General 7-year Life (Note 10)</t>
  </si>
  <si>
    <t>Software - Electric General 10-year Life (Note 10)</t>
  </si>
  <si>
    <t>Software - Electric General 13-year Life (Note 10)</t>
  </si>
  <si>
    <t>Software - Electric General 15-year Life (Note 10)</t>
  </si>
  <si>
    <t>Common - Electric</t>
  </si>
  <si>
    <t>Attachment 8, Page 1, Line 11, Col J</t>
  </si>
  <si>
    <t>Attachment 8, Page 1, Line 25, Col J</t>
  </si>
  <si>
    <t>Attachment 8, Page 2, Line 10, Col J</t>
  </si>
  <si>
    <t>Depreciation Expense - Transmission Intangible</t>
  </si>
  <si>
    <t>Depreciation Expense - General Intangible</t>
  </si>
  <si>
    <t xml:space="preserve">  Intangible - Transmission</t>
  </si>
  <si>
    <t xml:space="preserve">  Intangible - General</t>
  </si>
  <si>
    <t>Attachment 5, Line 1, Col. (i)</t>
  </si>
  <si>
    <t>Attachment 5, Line 1, Col. (j)</t>
  </si>
  <si>
    <t>Common General - Electric</t>
  </si>
  <si>
    <t>Software - Electric Distribution</t>
  </si>
  <si>
    <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t>
  </si>
  <si>
    <t>Difference</t>
  </si>
  <si>
    <t>Current Year</t>
  </si>
  <si>
    <t>Per Formula</t>
  </si>
  <si>
    <t>Allocation %</t>
  </si>
  <si>
    <t>To Transmission</t>
  </si>
  <si>
    <t>Intangible - Transmission</t>
  </si>
  <si>
    <t>Intangible - General</t>
  </si>
  <si>
    <t>Intangible - Distribution</t>
  </si>
  <si>
    <t>Page 1 of 4</t>
  </si>
  <si>
    <t>Page 2 of 4</t>
  </si>
  <si>
    <t>Page 3 of 4</t>
  </si>
  <si>
    <t>Page 4 of 4</t>
  </si>
  <si>
    <t>Difference Allocated</t>
  </si>
  <si>
    <t>Prior Year</t>
  </si>
  <si>
    <t>Total Cumulative</t>
  </si>
  <si>
    <t>Total Company</t>
  </si>
  <si>
    <t>(D)=(B)-(C)</t>
  </si>
  <si>
    <t>(F)=(D)*(E)</t>
  </si>
  <si>
    <t>(I)=(D)+(G)</t>
  </si>
  <si>
    <t>(J)=(F)+(H)</t>
  </si>
  <si>
    <t>Accumulative Depreciation</t>
  </si>
  <si>
    <t>Average Accumulative</t>
  </si>
  <si>
    <t>Total Intangible</t>
  </si>
  <si>
    <t xml:space="preserve">Total Cumulative </t>
  </si>
  <si>
    <t>Adjustment</t>
  </si>
  <si>
    <t>Adjusted Average</t>
  </si>
  <si>
    <t>Attachment 8, Page 3, Line 10, Col. (E)</t>
  </si>
  <si>
    <t>Attachment 8, Page 3, Line 11, Col. (E)</t>
  </si>
  <si>
    <t>Attachment 8, Page 3, Line 16, Col. (E) and Col. (G)</t>
  </si>
  <si>
    <t>Attachment 8, Page 3, Line 12, Col. (E)</t>
  </si>
  <si>
    <t>Depreciation Expense - Distribution</t>
  </si>
  <si>
    <t>Attachment 8, Page 2, Line 22, Col J</t>
  </si>
  <si>
    <t>Attachment 8, Page 2, Line 19, Col J</t>
  </si>
  <si>
    <t xml:space="preserve">  Intangible - Distribution</t>
  </si>
  <si>
    <t>Attachment 5, Line 1, Col. (k)</t>
  </si>
  <si>
    <t>The Actual Revenue Requirement in the True-up Adjustment calculation for years 2020 and later shall use the depreciation and amortization rates approved for use by the Commission when PECO performs the True-Up Adjustment.</t>
  </si>
  <si>
    <t>Attachment 8 - Depreciation and Amortization</t>
  </si>
  <si>
    <t>IT Business Intelligence Data Analysis - Distribution</t>
  </si>
  <si>
    <t>IT Other - Transmission</t>
  </si>
  <si>
    <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t>
  </si>
  <si>
    <t>For FERC accounts 303, 352 through 359 and 390 through 398, Column F is fixed and cannot be changed absent Commission approval or acceptance.</t>
  </si>
  <si>
    <t>(Attachment H-7 Notes T and Z)</t>
  </si>
  <si>
    <t>227. 8. c + (227.16.c * Labor Ratio) + TLF for end of year, records for other months (Note L)</t>
  </si>
  <si>
    <t>L</t>
  </si>
  <si>
    <t xml:space="preserve">Depreciation / </t>
  </si>
  <si>
    <t>Amortization Rate</t>
  </si>
  <si>
    <t>Depr./Amor. Exp</t>
  </si>
  <si>
    <t>Depr./Amor. Exp Per FF1</t>
  </si>
  <si>
    <t>Depr./Amor. Per Book</t>
  </si>
  <si>
    <t>Accumulative  Depr./Amor.</t>
  </si>
  <si>
    <t>Columns (A), (B), (C), and (D) are fixed and cannot be changed absent Commission approval or acceptance. The depreciation / amortization expense is calculated separately for each row.</t>
  </si>
  <si>
    <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</si>
  <si>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</si>
  <si>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Attachment 8, Page 2, Line 51, Col J</t>
  </si>
  <si>
    <t>Excluded Taxes Per Attachment 5C Line 5</t>
  </si>
  <si>
    <t>/ Atta 4D for Intangible</t>
  </si>
  <si>
    <t>Amortization of Loss on Reacquired Debt (428.1)</t>
  </si>
  <si>
    <t>(Less) Amortization of Gain on Reacquired Debt-Credit (429.1)</t>
  </si>
  <si>
    <t>(Less) Reacquired Bonds (222)</t>
  </si>
  <si>
    <t>(Less) Reacquired Capital Stock (217)</t>
  </si>
  <si>
    <t>Intercompany Billings - Transmission</t>
  </si>
  <si>
    <t>Intercompany Billings - Labor Related</t>
  </si>
  <si>
    <t>Intercompany Billings - Other</t>
  </si>
  <si>
    <t>30l</t>
  </si>
  <si>
    <t>30m</t>
  </si>
  <si>
    <t>30k</t>
  </si>
  <si>
    <t>Equipment Maintenance</t>
  </si>
  <si>
    <t>ARO- Reg Asset</t>
  </si>
  <si>
    <t>Prepaid gross receipts tax</t>
  </si>
  <si>
    <t>Marketing</t>
  </si>
  <si>
    <t>New Business</t>
  </si>
  <si>
    <t>21d</t>
  </si>
  <si>
    <t>21e</t>
  </si>
  <si>
    <t>21f</t>
  </si>
  <si>
    <t>21g</t>
  </si>
  <si>
    <t>21h</t>
  </si>
  <si>
    <t>21i</t>
  </si>
  <si>
    <t>21o</t>
  </si>
  <si>
    <t>21j</t>
  </si>
  <si>
    <t>21k</t>
  </si>
  <si>
    <t>21l</t>
  </si>
  <si>
    <t>21m</t>
  </si>
  <si>
    <t>21n</t>
  </si>
  <si>
    <t>21p</t>
  </si>
  <si>
    <t>21q</t>
  </si>
  <si>
    <t>21r</t>
  </si>
  <si>
    <t>21s</t>
  </si>
  <si>
    <t>21t</t>
  </si>
  <si>
    <t>21u</t>
  </si>
  <si>
    <t>21v</t>
  </si>
  <si>
    <t>21w</t>
  </si>
  <si>
    <t>21x</t>
  </si>
  <si>
    <t>IT License &amp; Maintenance Agreements</t>
  </si>
  <si>
    <t>Prepaid Rent</t>
  </si>
  <si>
    <t>Land Acquisitions</t>
  </si>
  <si>
    <t>Leases</t>
  </si>
  <si>
    <t>k22</t>
  </si>
  <si>
    <t>k23</t>
  </si>
  <si>
    <t>k24</t>
  </si>
  <si>
    <t>k25</t>
  </si>
  <si>
    <t>AIP</t>
  </si>
  <si>
    <t>401K Match</t>
  </si>
  <si>
    <t>Long-term incentive Plans</t>
  </si>
  <si>
    <t>Mgmt. Retiention Incentive Plan</t>
  </si>
  <si>
    <t>Stock Comp</t>
  </si>
  <si>
    <t>Severance - Long Term</t>
  </si>
  <si>
    <t>IT Business Intelligence Data Analysis - Transmission</t>
  </si>
  <si>
    <t>Peach Bottom 500-230 kV Transformer Rating Increase</t>
  </si>
  <si>
    <t>b2694</t>
  </si>
  <si>
    <t>3t</t>
  </si>
  <si>
    <t>b1398.8</t>
  </si>
  <si>
    <t>17t</t>
  </si>
  <si>
    <t>21y</t>
  </si>
  <si>
    <t>21z</t>
  </si>
  <si>
    <t>3n</t>
  </si>
  <si>
    <t>17n</t>
  </si>
  <si>
    <t>24f</t>
  </si>
  <si>
    <t>Intercompany Rent - Transmission</t>
  </si>
  <si>
    <t>17aa</t>
  </si>
  <si>
    <t>Peach Bottom 500 kV Substation Upgrades</t>
  </si>
  <si>
    <t>b2766.2</t>
  </si>
  <si>
    <t>3z</t>
  </si>
  <si>
    <t>b0264</t>
  </si>
  <si>
    <t>Prepaid Commission - Distribution</t>
  </si>
  <si>
    <t xml:space="preserve">Prepaid Commission - Transmission </t>
  </si>
  <si>
    <t>PA Commission Fee</t>
  </si>
  <si>
    <t>Voluntary Employees Beneficiary Association Plan</t>
  </si>
  <si>
    <t>Matching Energy Assistance Fund Agency Fees</t>
  </si>
  <si>
    <t>30n</t>
  </si>
  <si>
    <t>Employer social security tax payable</t>
  </si>
  <si>
    <t xml:space="preserve">Accrued Benefits </t>
  </si>
  <si>
    <t xml:space="preserve">Employee Nonqualified Stock Plan </t>
  </si>
  <si>
    <t>Pennsylvania Charitable Contribution Carry-Forward, net of Federal</t>
  </si>
  <si>
    <t>Customer Advances for Construction</t>
  </si>
  <si>
    <t>Deferred Compensation</t>
  </si>
  <si>
    <t xml:space="preserve">Deferred Revenue </t>
  </si>
  <si>
    <t>Other Employee Provided Benefits</t>
  </si>
  <si>
    <t xml:space="preserve">Asset Retirement Costs </t>
  </si>
  <si>
    <t>Other Accrued Expenses</t>
  </si>
  <si>
    <t xml:space="preserve">Accrued Employee Bonus </t>
  </si>
  <si>
    <t xml:space="preserve">Obsolete Materials </t>
  </si>
  <si>
    <t>Other Unearned Revenue - Deferred Rents</t>
  </si>
  <si>
    <t>Accrued Payroll Taxes</t>
  </si>
  <si>
    <t xml:space="preserve">Pennsylvania Net Operating Loss, net of Federal. </t>
  </si>
  <si>
    <t>Post Retirement Benefits</t>
  </si>
  <si>
    <t>Accrued Sales and Use Taxes</t>
  </si>
  <si>
    <t xml:space="preserve">Unbilled Revenue </t>
  </si>
  <si>
    <t>Accrued Severance</t>
  </si>
  <si>
    <t xml:space="preserve">Accrued Vegetation Management </t>
  </si>
  <si>
    <t xml:space="preserve">Accrued Workers Compensation </t>
  </si>
  <si>
    <t xml:space="preserve">Accrued expenses recorded for book purposes not currently deductible for income tax purposes. </t>
  </si>
  <si>
    <t>Related to reserves associated with pending sales and use tax audits. This is an accrual for possible liability payments upon resoution of ongoing audit examinations. Since we have accrued, but not yet paid, we have to book the tax reserve.</t>
  </si>
  <si>
    <t>Allowance for Doubtful Accounts (Bad Debt)</t>
  </si>
  <si>
    <t>Other Flow-Through Items</t>
  </si>
  <si>
    <t>AEC Receivable</t>
  </si>
  <si>
    <t xml:space="preserve">Regulatory Asset (Covid) </t>
  </si>
  <si>
    <t>Regulatory Asset (DSP)</t>
  </si>
  <si>
    <t>Regulatory Asset (Electric Rate Case Costs)</t>
  </si>
  <si>
    <t>Regulatory Asset (Energy Efficiency)</t>
  </si>
  <si>
    <t>Regulatory Asset (AMR)</t>
  </si>
  <si>
    <t>Regulatory Asset (Smart Meters)</t>
  </si>
  <si>
    <t>Regulatory Asset (CAP Forgiveness)</t>
  </si>
  <si>
    <t>Regulatory Asset (ARO)</t>
  </si>
  <si>
    <t>Regulatory Asset (Rate Change)</t>
  </si>
  <si>
    <t xml:space="preserve">Regulatory Asset (Other) </t>
  </si>
  <si>
    <t>Loss on Reacquired Debt</t>
  </si>
  <si>
    <t>Accrued Holiday Pay</t>
  </si>
  <si>
    <t>Accrued State Income Tax Receivable</t>
  </si>
  <si>
    <t xml:space="preserve">Cloud Computing </t>
  </si>
  <si>
    <t>FAS 109 Regulatory Asset</t>
  </si>
  <si>
    <t>Property taxes. Book records on an accrual method based on the prior year; tax reverses the book accrual and deducts the actual payments made.  Relates to all functions.</t>
  </si>
  <si>
    <t>Accrued State Tax Receivable</t>
  </si>
  <si>
    <t xml:space="preserve">Included because the related underlying asset is included in rate base.  Related to accelerated deductibility of these amounts for tax purposes. </t>
  </si>
  <si>
    <t>Center Point 500 kV Substation Addition</t>
  </si>
  <si>
    <t>Center Point 230 kV Substation Addition</t>
  </si>
  <si>
    <t>b0269.10</t>
  </si>
  <si>
    <t>b1590.1 and b1590.2</t>
  </si>
  <si>
    <t xml:space="preserve"> Bradford-Planebrook 230 kV Line Upgrades</t>
  </si>
  <si>
    <t>B0264</t>
  </si>
  <si>
    <t>Constellation Merger</t>
  </si>
  <si>
    <t>PHI Merger</t>
  </si>
  <si>
    <t>Accumulated Deferred Income Taxes attributable to income tax related regulatory assets and liabilities.  This balance is excluded from rate base.</t>
  </si>
  <si>
    <t>Accumulated Deferred Income Taxes Remeasurement</t>
  </si>
  <si>
    <t>Attachment 9A - Deficient / (Excess) Deferred Income Taxes  Worksheet</t>
  </si>
  <si>
    <t>Tax Cuts and Jobs Act of 2017</t>
  </si>
  <si>
    <t>ADIT - Pre Rate Change (December 31, 2017)</t>
  </si>
  <si>
    <t>ADIT - Post Rate Change (December 31, 2017)</t>
  </si>
  <si>
    <t>Deficient / (Excess) Deferred Income Taxes (December 31, 2017)</t>
  </si>
  <si>
    <t>Detailed Description</t>
  </si>
  <si>
    <t>Description</t>
  </si>
  <si>
    <t>Category</t>
  </si>
  <si>
    <t>Federal Gross
Timing Difference</t>
  </si>
  <si>
    <t>Federal ADIT
@ 35%</t>
  </si>
  <si>
    <t>State 
ADIT</t>
  </si>
  <si>
    <t>FIT on SIT</t>
  </si>
  <si>
    <t>Total 
ADIT</t>
  </si>
  <si>
    <t>Federal ADIT
@ 21%</t>
  </si>
  <si>
    <t>Rate Change 
Deferred Tax Impact</t>
  </si>
  <si>
    <t>Income Tax  Regulatory 
Asset / Liability 
Deferred Taxes</t>
  </si>
  <si>
    <t>Total
Deficient / (Excess)
ADIT Balance</t>
  </si>
  <si>
    <t>Jurisdiction 
Allocator</t>
  </si>
  <si>
    <t>Electric
Transmission</t>
  </si>
  <si>
    <r>
      <t>Allocator
(</t>
    </r>
    <r>
      <rPr>
        <b/>
        <sz val="10"/>
        <color rgb="FF0070C0"/>
        <rFont val="Times New Roman"/>
        <family val="1"/>
      </rPr>
      <t>Note B,C</t>
    </r>
    <r>
      <rPr>
        <b/>
        <sz val="10"/>
        <color theme="1"/>
        <rFont val="Times New Roman"/>
        <family val="1"/>
      </rPr>
      <t>)</t>
    </r>
  </si>
  <si>
    <t>Transmission Allocated
Deficient / (Excess)
ADIT Balance</t>
  </si>
  <si>
    <t>FERC
Account</t>
  </si>
  <si>
    <t>(E) = (D) * 35%</t>
  </si>
  <si>
    <t>(G) = (F) * 35%</t>
  </si>
  <si>
    <t>(H) = (E) + (F) + (G)</t>
  </si>
  <si>
    <t>(J) = (I) * 21%</t>
  </si>
  <si>
    <t>(K)</t>
  </si>
  <si>
    <t>(L) = (K) * 21%</t>
  </si>
  <si>
    <t>(M) = (J) + (K) + (L)</t>
  </si>
  <si>
    <t>(N) = (H) - (M)</t>
  </si>
  <si>
    <t>(O)</t>
  </si>
  <si>
    <t>(P)</t>
  </si>
  <si>
    <t>(Q) = (N) - (O) - (P)</t>
  </si>
  <si>
    <t>(R)</t>
  </si>
  <si>
    <t>(S)</t>
  </si>
  <si>
    <t>(T)</t>
  </si>
  <si>
    <t>(U) = (Q) * (T)</t>
  </si>
  <si>
    <t>(V)</t>
  </si>
  <si>
    <r>
      <t>FERC Account 190 (</t>
    </r>
    <r>
      <rPr>
        <b/>
        <u/>
        <sz val="10"/>
        <color rgb="FF0070C0"/>
        <rFont val="Times New Roman"/>
        <family val="1"/>
      </rPr>
      <t>Note A</t>
    </r>
    <r>
      <rPr>
        <b/>
        <u/>
        <sz val="10"/>
        <color theme="1"/>
        <rFont val="Times New Roman"/>
        <family val="1"/>
      </rPr>
      <t>)</t>
    </r>
  </si>
  <si>
    <t>Accrued Benefits</t>
  </si>
  <si>
    <t>Non-Property</t>
  </si>
  <si>
    <t>100% Distribution</t>
  </si>
  <si>
    <t>No</t>
  </si>
  <si>
    <t>Addback of NQSO Expense</t>
  </si>
  <si>
    <t>A&amp;G Ratio</t>
  </si>
  <si>
    <t>Yes</t>
  </si>
  <si>
    <t>Addback of OtherEquity Comp Expense</t>
  </si>
  <si>
    <t>Amort-Organizational Costs</t>
  </si>
  <si>
    <t>Bad Debt - Change in Provision</t>
  </si>
  <si>
    <t>Charitable Carryforward</t>
  </si>
  <si>
    <t>Customer Advances - Construction</t>
  </si>
  <si>
    <t>Deferred Revenue</t>
  </si>
  <si>
    <t>Federal NOL</t>
  </si>
  <si>
    <t xml:space="preserve">Gross Up-Bill E Credit </t>
  </si>
  <si>
    <t>Incentive Pay</t>
  </si>
  <si>
    <t>Injuries and Damage Payments</t>
  </si>
  <si>
    <t>Merger Costs</t>
  </si>
  <si>
    <t>Deferred Charges - Tax Repairs Bill Credit-Dist</t>
  </si>
  <si>
    <t>Obsolete Materials Provision</t>
  </si>
  <si>
    <t>Other Current</t>
  </si>
  <si>
    <t>Facility Commitment Fees</t>
  </si>
  <si>
    <t>Fines &amp; Other</t>
  </si>
  <si>
    <t>MGP Liability Reg Asset</t>
  </si>
  <si>
    <t>100% Gas</t>
  </si>
  <si>
    <t>MGP Reserve-Current</t>
  </si>
  <si>
    <t>Other Current Reg Asset</t>
  </si>
  <si>
    <t>Other Noncurrent- Railroad Liability</t>
  </si>
  <si>
    <t>Other Unearned Revenue-Deferred Rents</t>
  </si>
  <si>
    <t>Payroll Taxes</t>
  </si>
  <si>
    <t>Pennsylvania NOL</t>
  </si>
  <si>
    <t>Pension Expense Provision</t>
  </si>
  <si>
    <t>Pole Attachment Reserve</t>
  </si>
  <si>
    <t>Rabbi Trust &amp; Maxi Flat Income</t>
  </si>
  <si>
    <t>Reserve For Employee Litigations</t>
  </si>
  <si>
    <t>Sec 162(m) - Excess Officers Comp - Temp</t>
  </si>
  <si>
    <t>Sec 263A  - Inventory Adjustment</t>
  </si>
  <si>
    <t>SA Unbilled Reserve</t>
  </si>
  <si>
    <t>SECA Refund</t>
  </si>
  <si>
    <t>SEPTA Railroad Rent</t>
  </si>
  <si>
    <t>Severance PMTS Change in Provision</t>
  </si>
  <si>
    <t>Vacation Pay Change in Provision</t>
  </si>
  <si>
    <t>Vegetation MGMT Accrual</t>
  </si>
  <si>
    <t>Workers Compensation Reserve</t>
  </si>
  <si>
    <t>Total FERC Account 190</t>
  </si>
  <si>
    <r>
      <t>FERC Account 282 (</t>
    </r>
    <r>
      <rPr>
        <b/>
        <u/>
        <sz val="11"/>
        <color rgb="FF0070C0"/>
        <rFont val="Times New Roman"/>
        <family val="1"/>
      </rPr>
      <t>Note A</t>
    </r>
    <r>
      <rPr>
        <b/>
        <u/>
        <sz val="11"/>
        <color theme="1"/>
        <rFont val="Times New Roman"/>
        <family val="1"/>
      </rPr>
      <t>)</t>
    </r>
  </si>
  <si>
    <t>Property Related ADIT, Excl. ARO - Federal</t>
  </si>
  <si>
    <t>Distribution - Electric</t>
  </si>
  <si>
    <t>Distribution - Gas</t>
  </si>
  <si>
    <t>Unprotected Property</t>
  </si>
  <si>
    <t>Transmission - CIAC</t>
  </si>
  <si>
    <t>Property Related ADIT, Excl. ARO - State</t>
  </si>
  <si>
    <t>Other Flow-through</t>
  </si>
  <si>
    <t>Total FERC Account 282</t>
  </si>
  <si>
    <r>
      <t>FERC Account 283 (</t>
    </r>
    <r>
      <rPr>
        <b/>
        <u/>
        <sz val="11"/>
        <color rgb="FF0070C0"/>
        <rFont val="Times New Roman"/>
        <family val="1"/>
      </rPr>
      <t>Note A</t>
    </r>
    <r>
      <rPr>
        <b/>
        <u/>
        <sz val="11"/>
        <color theme="1"/>
        <rFont val="Times New Roman"/>
        <family val="1"/>
      </rPr>
      <t>)</t>
    </r>
  </si>
  <si>
    <t>ACT 129 Smart Meter</t>
  </si>
  <si>
    <t>Amort-BK-Premiums on Reacqd Debt-9.5%</t>
  </si>
  <si>
    <t>CAP Forgiveness Reg Asset</t>
  </si>
  <si>
    <t>CAP Shopping Reg Asset</t>
  </si>
  <si>
    <t>DSP 2 - Regulatory Asset</t>
  </si>
  <si>
    <t>Elec Rate Case EXP - Reg Asset</t>
  </si>
  <si>
    <t>Energy Efficiency Reg Asset</t>
  </si>
  <si>
    <t>FAS109 Non TCJA</t>
  </si>
  <si>
    <t>FAS 109 TCJA</t>
  </si>
  <si>
    <t>FAS 109 NonTCJA</t>
  </si>
  <si>
    <t>Gas Rate Case - Reg Asset</t>
  </si>
  <si>
    <t>Holiday Pay Change in Provision</t>
  </si>
  <si>
    <t>Loss of Reaquired Debt</t>
  </si>
  <si>
    <t>Vacation Accrual</t>
  </si>
  <si>
    <t>Smart Meter</t>
  </si>
  <si>
    <t>CAP Shopping Reg Asset - Current</t>
  </si>
  <si>
    <t>CAP Forgiveness Reg Asset - Current</t>
  </si>
  <si>
    <t>Elec Rate Case Exp - Reg Asset - Current</t>
  </si>
  <si>
    <t>Seamless Moves</t>
  </si>
  <si>
    <t>Rate Chance Reg Asset</t>
  </si>
  <si>
    <t>State Tax Reserve</t>
  </si>
  <si>
    <t>Total FERC Account 283</t>
  </si>
  <si>
    <t>Grand Total</t>
  </si>
  <si>
    <t>Total Unprotected</t>
  </si>
  <si>
    <t>Total Deficient / (Excess)ADIT</t>
  </si>
  <si>
    <t xml:space="preserve">Instructions </t>
  </si>
  <si>
    <t xml:space="preserve">1. In accordance with ASC 740, deferred tax assets and liabilities are adjusted (re-measured) for the effect of the changes in tax law (including tax rates) in the period that the change is enacted.  Adjustments are recorded in the appropriate deferred income tax balance sheet accounts (Accounts 190, 281, 282 and 283) based on the nature of the temporary difference and the related classification requirements of the accounts.   If as a result of action or expected action by a regulator, it is probable that the effect of a future increase or decrease in taxes payable resulting from a change in tax law or rates will be recovered from or passed through to customers through future rates, a regulatory asset or liability is recognized in Account 182.3 (Other Regulatory Assets), or Account 254 (Other Regulatory Liabilities), as appropriate, for that probable future revenue or reduction in future revenue.  The amortization of deficient and excess deferred income taxes that will be recovered from or passed through to customers through future rates will be recorded in FERC Accounts 410.1 (Provision for Deferred Income Taxes, Utility Operating Income) and 411.1 (Provision for Deferred Income Taxes—Credit, Utility Operating Income), as appropriate.  Re-measurements of deferred tax balance sheet accounts may also result in re-measurements of tax-related regulatory assets or liabilities that had been recorded prior to the change in tax law.  If it is not probable that the effect of a future increase or decrease in taxes payable resulting from a change in tax law or rates will be recovered from or passed through to customers through future rates, tax expense will be recognized in Account 410.2 (Provision for Deferred Income Taxes, Other Income or Deductions) or tax benefit is recognized in Account 411.2 (Provision for Deferred Income Taxes-Credit, Other Income or Deductions), as appropriate.   </t>
  </si>
  <si>
    <t xml:space="preserve">2. Set the allocation percentages equal to the applicable percentages at the date of the rate change. </t>
  </si>
  <si>
    <t xml:space="preserve">Notes </t>
  </si>
  <si>
    <t xml:space="preserve">Categorization of items as protected or non-protected will remain as originally agreed, absent a change in guidance from the Internal Revenue Service (IRS) with respect to that items.  Balances associated with the tax rate change will not be adjusted (except for amortization each year) absent audit adjustments, tax return amendments, or a change in IRS guidance.  Any resulting changes will be prominently disclosed including the basis for the change. </t>
  </si>
  <si>
    <t>The allocation percentage in Column T are based on the applicable percentages at the date of the rate change.</t>
  </si>
  <si>
    <t>The allocation factors for lines 45 and 47 are subject to the change as reflected in Attachment 9 – Excess / (Deficient) Deferred Income Taxes, lines 17 and 20.</t>
  </si>
  <si>
    <t>END</t>
  </si>
  <si>
    <t>214.26,d, 214.27,d, 214.28,d, 214.30,d, 214.33,d, 214.34,d, 214.36,d and 214.39,d for end of year, records for other months</t>
  </si>
  <si>
    <t>S0</t>
  </si>
  <si>
    <t>S4</t>
  </si>
  <si>
    <t>L1.5</t>
  </si>
  <si>
    <t>R1.5</t>
  </si>
  <si>
    <t>Allowance for Doubtful Accounts (Bad Deb)</t>
  </si>
  <si>
    <t>Intercompany Rent - Distribution</t>
  </si>
  <si>
    <t>24g</t>
  </si>
  <si>
    <t xml:space="preserve">PA Gross Receipts Tax </t>
  </si>
  <si>
    <t>Regulatory Asset (Accrued Vacation)</t>
  </si>
  <si>
    <t>Separation</t>
  </si>
  <si>
    <t xml:space="preserve">Property Tax  </t>
  </si>
  <si>
    <t>Pennsylvania Unemployment Tax</t>
  </si>
  <si>
    <t>Use Tax</t>
  </si>
  <si>
    <t>Miscellaneous Tax</t>
  </si>
  <si>
    <t>Sales Tax</t>
  </si>
  <si>
    <t>As of 12/31/2021</t>
  </si>
  <si>
    <t>FY 2021</t>
  </si>
  <si>
    <t>True-Up for the 12 months ended 12/31/2021</t>
  </si>
  <si>
    <t>Natural Gas Reliability Project</t>
  </si>
  <si>
    <t>Commodity Charges</t>
  </si>
  <si>
    <t>Energy Efficiency Phase IV Program Administration Costs</t>
  </si>
  <si>
    <t>k26</t>
  </si>
  <si>
    <t>Projection for the 12 months ended 12/31/2022</t>
  </si>
  <si>
    <t>For  the 12 months ended 12/31/2022</t>
  </si>
  <si>
    <t>Attributable to rent received under long term lease agreement.  Books will recognize rental income ratably over the term of the lease; Tax will recognize the rental income when the cash is received.</t>
  </si>
  <si>
    <t xml:space="preserve">Accrued Employee Vacation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</si>
</sst>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4">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 numFmtId="279" formatCode="m/d/yyyy;@"/>
    <numFmt numFmtId="280" formatCode="0.000000%"/>
  </numFmts>
  <fonts count="148">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1"/>
      <color theme="1"/>
      <name val="Calibri"/>
      <family val="2"/>
      <scheme val="minor"/>
    </font>
    <font>
      <vertAlign val="superscript"/>
      <sz val="10"/>
      <color theme="1"/>
      <name val="Times New Roman"/>
      <family val="1"/>
    </font>
    <font>
      <b/>
      <sz val="12"/>
      <name val="Times New Roman"/>
      <family val="1"/>
    </font>
    <font>
      <sz val="11"/>
      <color indexed="8"/>
      <name val="Arial Narrow"/>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vertAlign val="superscript"/>
      <sz val="9.9"/>
      <name val="Times New Roman"/>
      <family val="1"/>
    </font>
    <font>
      <sz val="10"/>
      <color theme="1"/>
      <name val="Times New Roman"/>
      <family val="1"/>
    </font>
    <font>
      <b/>
      <sz val="12"/>
      <color theme="1" tint="0.34998626667073579"/>
      <name val="Times New Roman"/>
      <family val="1"/>
    </font>
    <font>
      <sz val="12"/>
      <color theme="1" tint="0.34998626667073579"/>
      <name val="Times New Roman"/>
      <family val="1"/>
    </font>
    <font>
      <b/>
      <sz val="12"/>
      <color rgb="FFFF0000"/>
      <name val="Times New Roman"/>
      <family val="1"/>
    </font>
    <font>
      <b/>
      <sz val="12"/>
      <color theme="1"/>
      <name val="Times New Roman"/>
      <family val="1"/>
    </font>
    <font>
      <b/>
      <sz val="10"/>
      <color rgb="FF3333FF"/>
      <name val="Times New Roman"/>
      <family val="1"/>
    </font>
    <font>
      <b/>
      <sz val="11"/>
      <color rgb="FFFF0000"/>
      <name val="Times New Roman"/>
      <family val="1"/>
    </font>
    <font>
      <sz val="12"/>
      <color theme="1"/>
      <name val="Times New Roman"/>
      <family val="1"/>
    </font>
    <font>
      <b/>
      <sz val="12"/>
      <color rgb="FF3333FF"/>
      <name val="Times New Roman"/>
      <family val="1"/>
    </font>
    <font>
      <i/>
      <sz val="11"/>
      <color theme="1"/>
      <name val="Times New Roman"/>
      <family val="1"/>
    </font>
    <font>
      <u/>
      <sz val="12"/>
      <name val="Times New Roman"/>
      <family val="1"/>
    </font>
    <font>
      <sz val="10"/>
      <color rgb="FF0000FF"/>
      <name val="Times New Roman"/>
      <family val="1"/>
    </font>
    <font>
      <sz val="11"/>
      <color indexed="8"/>
      <name val="Times New Roman"/>
      <family val="1"/>
    </font>
    <font>
      <b/>
      <sz val="14"/>
      <name val="Times New Roman"/>
      <family val="1"/>
    </font>
    <font>
      <b/>
      <sz val="16"/>
      <name val="Times New Roman"/>
      <family val="1"/>
    </font>
    <font>
      <b/>
      <i/>
      <sz val="10"/>
      <name val="Times New Roman"/>
      <family val="1"/>
    </font>
    <font>
      <b/>
      <sz val="8"/>
      <name val="Times New Roman"/>
      <family val="1"/>
    </font>
    <font>
      <sz val="12"/>
      <color indexed="12"/>
      <name val="Times New Roman"/>
      <family val="1"/>
    </font>
    <font>
      <sz val="11"/>
      <name val="Calibri"/>
      <family val="2"/>
      <scheme val="minor"/>
    </font>
    <font>
      <sz val="11"/>
      <name val="Arial Narrow"/>
      <family val="2"/>
    </font>
    <font>
      <sz val="10"/>
      <color theme="1"/>
      <name val="Arial"/>
      <family val="2"/>
    </font>
    <font>
      <b/>
      <sz val="15"/>
      <color theme="0"/>
      <name val="Times New Roman"/>
      <family val="1"/>
    </font>
    <font>
      <sz val="12"/>
      <color theme="0"/>
      <name val="Times New Roman"/>
      <family val="1"/>
    </font>
    <font>
      <b/>
      <sz val="10"/>
      <color theme="1"/>
      <name val="Times New Roman"/>
      <family val="1"/>
    </font>
    <font>
      <b/>
      <sz val="10"/>
      <color rgb="FF0070C0"/>
      <name val="Times New Roman"/>
      <family val="1"/>
    </font>
    <font>
      <b/>
      <sz val="10"/>
      <color theme="0"/>
      <name val="Times New Roman"/>
      <family val="1"/>
    </font>
    <font>
      <sz val="10"/>
      <color theme="0"/>
      <name val="Times New Roman"/>
      <family val="1"/>
    </font>
    <font>
      <b/>
      <u/>
      <sz val="10"/>
      <color theme="1"/>
      <name val="Times New Roman"/>
      <family val="1"/>
    </font>
    <font>
      <b/>
      <u/>
      <sz val="10"/>
      <color rgb="FF0070C0"/>
      <name val="Times New Roman"/>
      <family val="1"/>
    </font>
    <font>
      <b/>
      <u/>
      <sz val="11"/>
      <color theme="1"/>
      <name val="Times New Roman"/>
      <family val="1"/>
    </font>
    <font>
      <b/>
      <u/>
      <sz val="11"/>
      <color rgb="FF0070C0"/>
      <name val="Times New Roman"/>
      <family val="1"/>
    </font>
    <font>
      <sz val="10"/>
      <color theme="3"/>
      <name val="Times New Roman"/>
      <family val="1"/>
    </font>
    <font>
      <b/>
      <sz val="14"/>
      <color theme="0"/>
      <name val="Times New Roman"/>
      <family val="1"/>
    </font>
    <font>
      <b/>
      <sz val="10"/>
      <color indexed="13"/>
      <name val="Times New Roman"/>
      <family val="1"/>
    </font>
    <font>
      <sz val="12"/>
      <name val="Arial MT"/>
      <family val="2"/>
    </font>
    <font>
      <sz val="11"/>
      <color theme="1"/>
      <name val="Calibri"/>
      <family val="2"/>
    </font>
  </fonts>
  <fills count="2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indexed="8"/>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63">
    <xf numFmtId="172" fontId="0" fillId="0" borderId="0" applyProtection="0"/>
    <xf numFmtId="0" fontId="16" fillId="0" borderId="0"/>
    <xf numFmtId="183" fontId="54" fillId="0" borderId="0" applyFont="0" applyFill="0" applyBorder="0" applyAlignment="0" applyProtection="0"/>
    <xf numFmtId="184" fontId="54" fillId="0" borderId="0" applyFont="0" applyFill="0" applyBorder="0" applyAlignment="0" applyProtection="0"/>
    <xf numFmtId="185" fontId="54" fillId="0" borderId="0" applyFont="0" applyFill="0" applyBorder="0" applyAlignment="0" applyProtection="0"/>
    <xf numFmtId="186" fontId="54" fillId="0" borderId="0" applyFont="0" applyFill="0" applyBorder="0" applyAlignment="0" applyProtection="0"/>
    <xf numFmtId="187" fontId="54" fillId="0" borderId="0" applyFont="0" applyFill="0" applyBorder="0" applyAlignment="0" applyProtection="0"/>
    <xf numFmtId="188" fontId="54" fillId="0" borderId="0" applyFont="0" applyFill="0" applyBorder="0" applyAlignment="0" applyProtection="0"/>
    <xf numFmtId="0" fontId="24" fillId="0" borderId="0"/>
    <xf numFmtId="189" fontId="16" fillId="2" borderId="0" applyNumberFormat="0" applyFill="0" applyBorder="0" applyAlignment="0" applyProtection="0">
      <alignment horizontal="right" vertical="center"/>
    </xf>
    <xf numFmtId="189" fontId="48" fillId="0" borderId="0" applyNumberFormat="0" applyFill="0" applyBorder="0" applyAlignment="0" applyProtection="0"/>
    <xf numFmtId="0" fontId="16" fillId="0" borderId="1" applyNumberFormat="0" applyFont="0" applyFill="0" applyAlignment="0" applyProtection="0"/>
    <xf numFmtId="190" fontId="46" fillId="0" borderId="0" applyFont="0" applyFill="0" applyBorder="0" applyAlignment="0" applyProtection="0"/>
    <xf numFmtId="191" fontId="54" fillId="0" borderId="0" applyFont="0" applyFill="0" applyBorder="0" applyProtection="0">
      <alignment horizontal="left"/>
    </xf>
    <xf numFmtId="192" fontId="54" fillId="0" borderId="0" applyFont="0" applyFill="0" applyBorder="0" applyProtection="0">
      <alignment horizontal="left"/>
    </xf>
    <xf numFmtId="193" fontId="54" fillId="0" borderId="0" applyFont="0" applyFill="0" applyBorder="0" applyProtection="0">
      <alignment horizontal="left"/>
    </xf>
    <xf numFmtId="37" fontId="55" fillId="0" borderId="0" applyFont="0" applyFill="0" applyBorder="0" applyAlignment="0" applyProtection="0">
      <alignment vertical="center"/>
      <protection locked="0"/>
    </xf>
    <xf numFmtId="194" fontId="56" fillId="0" borderId="0" applyFont="0" applyFill="0" applyBorder="0" applyAlignment="0" applyProtection="0"/>
    <xf numFmtId="0" fontId="57" fillId="0" borderId="0"/>
    <xf numFmtId="0" fontId="57" fillId="0" borderId="0"/>
    <xf numFmtId="172" fontId="14" fillId="0" borderId="0" applyFill="0"/>
    <xf numFmtId="172" fontId="14" fillId="0" borderId="0">
      <alignment horizontal="center"/>
    </xf>
    <xf numFmtId="0" fontId="14" fillId="0" borderId="0" applyFill="0">
      <alignment horizontal="center"/>
    </xf>
    <xf numFmtId="172" fontId="15" fillId="0" borderId="2" applyFill="0"/>
    <xf numFmtId="0" fontId="16" fillId="0" borderId="0" applyFont="0" applyAlignment="0"/>
    <xf numFmtId="0" fontId="17" fillId="0" borderId="0" applyFill="0">
      <alignment vertical="top"/>
    </xf>
    <xf numFmtId="0" fontId="15" fillId="0" borderId="0" applyFill="0">
      <alignment horizontal="left" vertical="top"/>
    </xf>
    <xf numFmtId="172" fontId="18" fillId="0" borderId="3" applyFill="0"/>
    <xf numFmtId="0" fontId="16" fillId="0" borderId="0" applyNumberFormat="0" applyFont="0" applyAlignment="0"/>
    <xf numFmtId="0" fontId="17" fillId="0" borderId="0" applyFill="0">
      <alignment wrapText="1"/>
    </xf>
    <xf numFmtId="0" fontId="15" fillId="0" borderId="0" applyFill="0">
      <alignment horizontal="left" vertical="top" wrapText="1"/>
    </xf>
    <xf numFmtId="172" fontId="19" fillId="0" borderId="0" applyFill="0"/>
    <xf numFmtId="0" fontId="20" fillId="0" borderId="0" applyNumberFormat="0" applyFont="0" applyAlignment="0">
      <alignment horizontal="center"/>
    </xf>
    <xf numFmtId="0" fontId="21" fillId="0" borderId="0" applyFill="0">
      <alignment vertical="top" wrapText="1"/>
    </xf>
    <xf numFmtId="0" fontId="18" fillId="0" borderId="0" applyFill="0">
      <alignment horizontal="left" vertical="top" wrapText="1"/>
    </xf>
    <xf numFmtId="172" fontId="16" fillId="0" borderId="0" applyFill="0"/>
    <xf numFmtId="0" fontId="20" fillId="0" borderId="0" applyNumberFormat="0" applyFont="0" applyAlignment="0">
      <alignment horizontal="center"/>
    </xf>
    <xf numFmtId="0" fontId="22" fillId="0" borderId="0" applyFill="0">
      <alignment vertical="center" wrapText="1"/>
    </xf>
    <xf numFmtId="0" fontId="23" fillId="0" borderId="0">
      <alignment horizontal="left" vertical="center" wrapText="1"/>
    </xf>
    <xf numFmtId="172" fontId="24" fillId="0" borderId="0" applyFill="0"/>
    <xf numFmtId="0" fontId="20" fillId="0" borderId="0" applyNumberFormat="0" applyFont="0" applyAlignment="0">
      <alignment horizontal="center"/>
    </xf>
    <xf numFmtId="0" fontId="25" fillId="0" borderId="0" applyFill="0">
      <alignment horizontal="center" vertical="center" wrapText="1"/>
    </xf>
    <xf numFmtId="0" fontId="26" fillId="0" borderId="0" applyFill="0">
      <alignment horizontal="center" vertical="center" wrapText="1"/>
    </xf>
    <xf numFmtId="0" fontId="16" fillId="0" borderId="0" applyFill="0">
      <alignment horizontal="center" vertical="center" wrapText="1"/>
    </xf>
    <xf numFmtId="172" fontId="27" fillId="0" borderId="0" applyFill="0"/>
    <xf numFmtId="0" fontId="20"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172" fontId="30" fillId="0" borderId="0" applyFill="0"/>
    <xf numFmtId="0" fontId="20" fillId="0" borderId="0" applyNumberFormat="0" applyFont="0" applyAlignment="0">
      <alignment horizontal="center"/>
    </xf>
    <xf numFmtId="0" fontId="31" fillId="0" borderId="0">
      <alignment horizontal="center" wrapText="1"/>
    </xf>
    <xf numFmtId="0" fontId="27" fillId="0" borderId="0" applyFill="0">
      <alignment horizontal="center" wrapText="1"/>
    </xf>
    <xf numFmtId="178" fontId="58" fillId="0" borderId="0" applyFont="0" applyFill="0" applyBorder="0" applyAlignment="0" applyProtection="0">
      <protection locked="0"/>
    </xf>
    <xf numFmtId="195" fontId="58" fillId="0" borderId="0" applyFont="0" applyFill="0" applyBorder="0" applyAlignment="0" applyProtection="0">
      <protection locked="0"/>
    </xf>
    <xf numFmtId="39" fontId="16" fillId="0" borderId="0" applyFont="0" applyFill="0" applyBorder="0" applyAlignment="0" applyProtection="0"/>
    <xf numFmtId="196" fontId="59" fillId="0" borderId="0" applyFont="0" applyFill="0" applyBorder="0" applyAlignment="0" applyProtection="0"/>
    <xf numFmtId="181" fontId="56" fillId="0" borderId="0" applyFont="0" applyFill="0" applyBorder="0" applyAlignment="0" applyProtection="0"/>
    <xf numFmtId="0" fontId="16" fillId="0" borderId="1" applyNumberFormat="0" applyFont="0" applyFill="0" applyBorder="0" applyProtection="0">
      <alignment horizontal="centerContinuous" vertical="center"/>
    </xf>
    <xf numFmtId="0" fontId="40" fillId="0" borderId="0" applyFill="0" applyBorder="0" applyProtection="0">
      <alignment horizontal="center"/>
      <protection locked="0"/>
    </xf>
    <xf numFmtId="43" fontId="16" fillId="0" borderId="0" applyFont="0" applyFill="0" applyBorder="0" applyAlignment="0" applyProtection="0"/>
    <xf numFmtId="0" fontId="16"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41" fontId="16" fillId="0" borderId="0" applyFont="0" applyFill="0" applyBorder="0" applyAlignment="0" applyProtection="0"/>
    <xf numFmtId="197" fontId="54" fillId="0" borderId="0" applyFont="0" applyFill="0" applyBorder="0" applyAlignment="0" applyProtection="0"/>
    <xf numFmtId="198" fontId="54" fillId="0" borderId="0" applyFont="0" applyFill="0" applyBorder="0" applyAlignment="0" applyProtection="0"/>
    <xf numFmtId="199" fontId="54" fillId="0" borderId="0" applyFont="0" applyFill="0" applyBorder="0" applyAlignment="0" applyProtection="0"/>
    <xf numFmtId="200" fontId="52" fillId="0" borderId="0" applyFont="0" applyFill="0" applyBorder="0" applyAlignment="0" applyProtection="0"/>
    <xf numFmtId="201" fontId="61" fillId="0" borderId="0" applyFont="0" applyFill="0" applyBorder="0" applyAlignment="0" applyProtection="0"/>
    <xf numFmtId="202" fontId="61" fillId="0" borderId="0" applyFont="0" applyFill="0" applyBorder="0" applyAlignment="0" applyProtection="0"/>
    <xf numFmtId="203" fontId="19" fillId="0" borderId="0" applyFont="0" applyFill="0" applyBorder="0" applyAlignment="0" applyProtection="0">
      <protection locked="0"/>
    </xf>
    <xf numFmtId="43" fontId="12" fillId="0" borderId="0" applyFont="0" applyFill="0" applyBorder="0" applyAlignment="0" applyProtection="0"/>
    <xf numFmtId="43" fontId="3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5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93" fillId="0" borderId="0" applyFont="0" applyFill="0" applyBorder="0" applyAlignment="0" applyProtection="0"/>
    <xf numFmtId="37" fontId="62" fillId="0" borderId="0" applyFill="0" applyBorder="0" applyAlignment="0" applyProtection="0"/>
    <xf numFmtId="3" fontId="16" fillId="0" borderId="0" applyFont="0" applyFill="0" applyBorder="0" applyAlignment="0" applyProtection="0"/>
    <xf numFmtId="0" fontId="15" fillId="0" borderId="0" applyFill="0" applyBorder="0" applyAlignment="0" applyProtection="0">
      <protection locked="0"/>
    </xf>
    <xf numFmtId="0" fontId="16" fillId="0" borderId="4"/>
    <xf numFmtId="44" fontId="16" fillId="0" borderId="0" applyFont="0" applyFill="0" applyBorder="0" applyAlignment="0" applyProtection="0"/>
    <xf numFmtId="204" fontId="54" fillId="0" borderId="0" applyFont="0" applyFill="0" applyBorder="0" applyAlignment="0" applyProtection="0"/>
    <xf numFmtId="205" fontId="54" fillId="0" borderId="0" applyFont="0" applyFill="0" applyBorder="0" applyAlignment="0" applyProtection="0"/>
    <xf numFmtId="206" fontId="54" fillId="0" borderId="0" applyFont="0" applyFill="0" applyBorder="0" applyAlignment="0" applyProtection="0"/>
    <xf numFmtId="207" fontId="61" fillId="0" borderId="0" applyFont="0" applyFill="0" applyBorder="0" applyAlignment="0" applyProtection="0"/>
    <xf numFmtId="208" fontId="61" fillId="0" borderId="0" applyFont="0" applyFill="0" applyBorder="0" applyAlignment="0" applyProtection="0"/>
    <xf numFmtId="209" fontId="61" fillId="0" borderId="0" applyFont="0" applyFill="0" applyBorder="0" applyAlignment="0" applyProtection="0"/>
    <xf numFmtId="210" fontId="19" fillId="0" borderId="0" applyFont="0" applyFill="0" applyBorder="0" applyAlignment="0" applyProtection="0">
      <protection locked="0"/>
    </xf>
    <xf numFmtId="44" fontId="26" fillId="0" borderId="0" applyFont="0" applyFill="0" applyBorder="0" applyAlignment="0" applyProtection="0"/>
    <xf numFmtId="44" fontId="16" fillId="0" borderId="0" applyFont="0" applyFill="0" applyBorder="0" applyAlignment="0" applyProtection="0"/>
    <xf numFmtId="44" fontId="50"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5" fontId="62" fillId="0" borderId="0" applyFill="0" applyBorder="0" applyAlignment="0" applyProtection="0"/>
    <xf numFmtId="5" fontId="16" fillId="0" borderId="0" applyFont="0" applyFill="0" applyBorder="0" applyAlignment="0" applyProtection="0"/>
    <xf numFmtId="5" fontId="16" fillId="0" borderId="0" applyFont="0" applyFill="0" applyBorder="0" applyAlignment="0" applyProtection="0"/>
    <xf numFmtId="211" fontId="56" fillId="0" borderId="0" applyFont="0" applyFill="0" applyBorder="0" applyAlignment="0" applyProtection="0"/>
    <xf numFmtId="180" fontId="16" fillId="0" borderId="0" applyFont="0" applyFill="0" applyBorder="0" applyAlignment="0" applyProtection="0"/>
    <xf numFmtId="212" fontId="58" fillId="0" borderId="0" applyFont="0" applyFill="0" applyBorder="0" applyAlignment="0" applyProtection="0">
      <protection locked="0"/>
    </xf>
    <xf numFmtId="7" fontId="14" fillId="0" borderId="0" applyFont="0" applyFill="0" applyBorder="0" applyAlignment="0" applyProtection="0"/>
    <xf numFmtId="213" fontId="59" fillId="0" borderId="0" applyFont="0" applyFill="0" applyBorder="0" applyAlignment="0" applyProtection="0"/>
    <xf numFmtId="179" fontId="63" fillId="0" borderId="0" applyFont="0" applyFill="0" applyBorder="0" applyAlignment="0" applyProtection="0"/>
    <xf numFmtId="0" fontId="64" fillId="3" borderId="5" applyNumberFormat="0" applyFont="0" applyFill="0" applyAlignment="0" applyProtection="0">
      <alignment horizontal="left" indent="1"/>
    </xf>
    <xf numFmtId="14" fontId="16" fillId="0" borderId="0" applyFont="0" applyFill="0" applyBorder="0" applyAlignment="0" applyProtection="0"/>
    <xf numFmtId="214" fontId="54" fillId="0" borderId="0" applyFont="0" applyFill="0" applyBorder="0" applyProtection="0"/>
    <xf numFmtId="215" fontId="54" fillId="0" borderId="0" applyFont="0" applyFill="0" applyBorder="0" applyProtection="0"/>
    <xf numFmtId="216" fontId="54" fillId="0" borderId="0" applyFont="0" applyFill="0" applyBorder="0" applyAlignment="0" applyProtection="0"/>
    <xf numFmtId="217" fontId="54" fillId="0" borderId="0" applyFont="0" applyFill="0" applyBorder="0" applyAlignment="0" applyProtection="0"/>
    <xf numFmtId="218" fontId="54" fillId="0" borderId="0" applyFont="0" applyFill="0" applyBorder="0" applyAlignment="0" applyProtection="0"/>
    <xf numFmtId="219" fontId="65" fillId="0" borderId="0" applyFont="0" applyFill="0" applyBorder="0" applyAlignment="0" applyProtection="0"/>
    <xf numFmtId="5" fontId="66" fillId="0" borderId="0" applyBorder="0"/>
    <xf numFmtId="180" fontId="66" fillId="0" borderId="0" applyBorder="0"/>
    <xf numFmtId="7" fontId="66" fillId="0" borderId="0" applyBorder="0"/>
    <xf numFmtId="37" fontId="66" fillId="0" borderId="0" applyBorder="0"/>
    <xf numFmtId="178" fontId="66" fillId="0" borderId="0" applyBorder="0"/>
    <xf numFmtId="220" fontId="66" fillId="0" borderId="0" applyBorder="0"/>
    <xf numFmtId="39" fontId="66" fillId="0" borderId="0" applyBorder="0"/>
    <xf numFmtId="221" fontId="66" fillId="0" borderId="0" applyBorder="0"/>
    <xf numFmtId="7" fontId="16" fillId="0" borderId="0" applyFont="0" applyFill="0" applyBorder="0" applyAlignment="0" applyProtection="0"/>
    <xf numFmtId="222" fontId="56" fillId="0" borderId="0" applyFont="0" applyFill="0" applyBorder="0" applyAlignment="0" applyProtection="0"/>
    <xf numFmtId="223" fontId="56" fillId="0" borderId="0" applyFont="0" applyFill="0" applyAlignment="0" applyProtection="0"/>
    <xf numFmtId="222" fontId="56" fillId="0" borderId="0" applyFont="0" applyFill="0" applyBorder="0" applyAlignment="0" applyProtection="0"/>
    <xf numFmtId="224" fontId="14" fillId="0" borderId="0" applyFont="0" applyFill="0" applyBorder="0" applyAlignment="0" applyProtection="0"/>
    <xf numFmtId="2" fontId="16" fillId="0" borderId="0" applyFont="0" applyFill="0" applyBorder="0" applyAlignment="0" applyProtection="0"/>
    <xf numFmtId="0" fontId="67" fillId="0" borderId="0"/>
    <xf numFmtId="178" fontId="68" fillId="0" borderId="0" applyNumberFormat="0" applyFill="0" applyBorder="0" applyAlignment="0" applyProtection="0"/>
    <xf numFmtId="0" fontId="14" fillId="0" borderId="0" applyFont="0" applyFill="0" applyBorder="0" applyAlignment="0" applyProtection="0"/>
    <xf numFmtId="0" fontId="54" fillId="0" borderId="0" applyFont="0" applyFill="0" applyBorder="0" applyProtection="0">
      <alignment horizontal="center" wrapText="1"/>
    </xf>
    <xf numFmtId="225" fontId="54" fillId="0" borderId="0" applyFont="0" applyFill="0" applyBorder="0" applyProtection="0">
      <alignment horizontal="right"/>
    </xf>
    <xf numFmtId="0" fontId="68" fillId="0" borderId="0" applyNumberFormat="0" applyFill="0" applyBorder="0" applyAlignment="0" applyProtection="0"/>
    <xf numFmtId="0" fontId="69" fillId="4" borderId="0" applyNumberFormat="0" applyFill="0" applyBorder="0" applyAlignment="0" applyProtection="0"/>
    <xf numFmtId="0" fontId="18" fillId="0" borderId="6" applyNumberFormat="0" applyAlignment="0" applyProtection="0">
      <alignment horizontal="left" vertical="center"/>
    </xf>
    <xf numFmtId="0" fontId="18" fillId="0" borderId="7">
      <alignment horizontal="left" vertical="center"/>
    </xf>
    <xf numFmtId="14" fontId="41" fillId="5" borderId="8">
      <alignment horizontal="center" vertical="center" wrapText="1"/>
    </xf>
    <xf numFmtId="0" fontId="32" fillId="0" borderId="0" applyFont="0" applyFill="0" applyBorder="0" applyAlignment="0" applyProtection="0"/>
    <xf numFmtId="0" fontId="33" fillId="0" borderId="0" applyFont="0" applyFill="0" applyBorder="0" applyAlignment="0" applyProtection="0"/>
    <xf numFmtId="0" fontId="18" fillId="0" borderId="0" applyFont="0" applyFill="0" applyBorder="0" applyAlignment="0" applyProtection="0"/>
    <xf numFmtId="0" fontId="40" fillId="0" borderId="0" applyFill="0" applyAlignment="0" applyProtection="0">
      <protection locked="0"/>
    </xf>
    <xf numFmtId="0" fontId="40" fillId="0" borderId="1" applyFill="0" applyAlignment="0" applyProtection="0">
      <protection locked="0"/>
    </xf>
    <xf numFmtId="0" fontId="34" fillId="0" borderId="8"/>
    <xf numFmtId="0" fontId="35" fillId="0" borderId="0"/>
    <xf numFmtId="0" fontId="70" fillId="0" borderId="1" applyNumberFormat="0" applyFill="0" applyAlignment="0" applyProtection="0"/>
    <xf numFmtId="0" fontId="65" fillId="6" borderId="0" applyNumberFormat="0" applyFont="0" applyBorder="0" applyAlignment="0" applyProtection="0"/>
    <xf numFmtId="0" fontId="71" fillId="0" borderId="0" applyNumberFormat="0" applyFill="0" applyBorder="0" applyAlignment="0" applyProtection="0">
      <alignment vertical="top"/>
      <protection locked="0"/>
    </xf>
    <xf numFmtId="0" fontId="51" fillId="7" borderId="9" applyNumberFormat="0" applyAlignment="0" applyProtection="0"/>
    <xf numFmtId="226" fontId="54" fillId="0" borderId="0" applyFont="0" applyFill="0" applyBorder="0" applyProtection="0">
      <alignment horizontal="left"/>
    </xf>
    <xf numFmtId="227" fontId="54" fillId="0" borderId="0" applyFont="0" applyFill="0" applyBorder="0" applyProtection="0">
      <alignment horizontal="left"/>
    </xf>
    <xf numFmtId="228" fontId="54" fillId="0" borderId="0" applyFont="0" applyFill="0" applyBorder="0" applyProtection="0">
      <alignment horizontal="left"/>
    </xf>
    <xf numFmtId="229" fontId="54" fillId="0" borderId="0" applyFont="0" applyFill="0" applyBorder="0" applyProtection="0">
      <alignment horizontal="left"/>
    </xf>
    <xf numFmtId="10" fontId="14" fillId="8" borderId="9" applyNumberFormat="0" applyBorder="0" applyAlignment="0" applyProtection="0"/>
    <xf numFmtId="5" fontId="72" fillId="0" borderId="0" applyBorder="0"/>
    <xf numFmtId="180" fontId="72" fillId="0" borderId="0" applyBorder="0"/>
    <xf numFmtId="7" fontId="72" fillId="0" borderId="0" applyBorder="0"/>
    <xf numFmtId="37" fontId="72" fillId="0" borderId="0" applyBorder="0"/>
    <xf numFmtId="178" fontId="72" fillId="0" borderId="0" applyBorder="0"/>
    <xf numFmtId="220" fontId="72" fillId="0" borderId="0" applyBorder="0"/>
    <xf numFmtId="39" fontId="72" fillId="0" borderId="0" applyBorder="0"/>
    <xf numFmtId="221" fontId="72" fillId="0" borderId="0" applyBorder="0"/>
    <xf numFmtId="0" fontId="65" fillId="0" borderId="10" applyNumberFormat="0" applyFont="0" applyFill="0" applyAlignment="0" applyProtection="0"/>
    <xf numFmtId="0" fontId="73" fillId="0" borderId="0"/>
    <xf numFmtId="0" fontId="14" fillId="9" borderId="0"/>
    <xf numFmtId="230" fontId="16" fillId="0" borderId="0" applyFont="0" applyFill="0" applyBorder="0" applyAlignment="0" applyProtection="0"/>
    <xf numFmtId="231" fontId="16" fillId="0" borderId="0" applyFont="0" applyFill="0" applyBorder="0" applyAlignment="0" applyProtection="0"/>
    <xf numFmtId="232" fontId="16" fillId="0" borderId="0" applyFont="0" applyFill="0" applyBorder="0" applyAlignment="0" applyProtection="0"/>
    <xf numFmtId="233" fontId="16" fillId="0" borderId="0" applyFont="0" applyFill="0" applyBorder="0" applyAlignment="0" applyProtection="0"/>
    <xf numFmtId="0" fontId="16" fillId="0" borderId="0" applyFont="0" applyFill="0" applyBorder="0" applyAlignment="0" applyProtection="0">
      <alignment horizontal="right"/>
    </xf>
    <xf numFmtId="234" fontId="16" fillId="0" borderId="0" applyFont="0" applyFill="0" applyBorder="0" applyAlignment="0" applyProtection="0"/>
    <xf numFmtId="37" fontId="74" fillId="0" borderId="0"/>
    <xf numFmtId="0" fontId="56" fillId="0" borderId="0"/>
    <xf numFmtId="0" fontId="95" fillId="0" borderId="0"/>
    <xf numFmtId="7" fontId="94" fillId="0" borderId="0"/>
    <xf numFmtId="0" fontId="16" fillId="0" borderId="0"/>
    <xf numFmtId="0" fontId="52" fillId="0" borderId="0"/>
    <xf numFmtId="0" fontId="26" fillId="0" borderId="0"/>
    <xf numFmtId="0" fontId="16" fillId="0" borderId="0"/>
    <xf numFmtId="0" fontId="16" fillId="0" borderId="0"/>
    <xf numFmtId="0" fontId="50" fillId="0" borderId="0"/>
    <xf numFmtId="0" fontId="16" fillId="0" borderId="0"/>
    <xf numFmtId="0" fontId="16" fillId="0" borderId="0"/>
    <xf numFmtId="0" fontId="16"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72" fontId="36" fillId="0" borderId="0" applyProtection="0"/>
    <xf numFmtId="0" fontId="95" fillId="0" borderId="0"/>
    <xf numFmtId="0" fontId="95" fillId="0" borderId="0"/>
    <xf numFmtId="0" fontId="95" fillId="0" borderId="0"/>
    <xf numFmtId="0" fontId="95" fillId="0" borderId="0"/>
    <xf numFmtId="0" fontId="36" fillId="0" borderId="0" applyProtection="0"/>
    <xf numFmtId="172" fontId="36" fillId="0" borderId="0" applyProtection="0"/>
    <xf numFmtId="172" fontId="36" fillId="0" borderId="0" applyProtection="0"/>
    <xf numFmtId="172" fontId="36" fillId="0" borderId="0" applyProtection="0"/>
    <xf numFmtId="0" fontId="16" fillId="0" borderId="0"/>
    <xf numFmtId="172" fontId="36" fillId="0" borderId="0" applyProtection="0"/>
    <xf numFmtId="0" fontId="16" fillId="0" borderId="0"/>
    <xf numFmtId="0" fontId="46" fillId="10" borderId="0" applyNumberFormat="0" applyFont="0" applyBorder="0" applyAlignment="0"/>
    <xf numFmtId="235" fontId="16" fillId="0" borderId="0" applyFont="0" applyFill="0" applyBorder="0" applyAlignment="0" applyProtection="0"/>
    <xf numFmtId="236" fontId="75" fillId="0" borderId="0"/>
    <xf numFmtId="235" fontId="16" fillId="0" borderId="0" applyFont="0" applyFill="0" applyBorder="0" applyAlignment="0" applyProtection="0"/>
    <xf numFmtId="235" fontId="16" fillId="0" borderId="0" applyFont="0" applyFill="0" applyBorder="0" applyAlignment="0" applyProtection="0"/>
    <xf numFmtId="235" fontId="16" fillId="0" borderId="0" applyFont="0" applyFill="0" applyBorder="0" applyAlignment="0" applyProtection="0"/>
    <xf numFmtId="237" fontId="16" fillId="0" borderId="0"/>
    <xf numFmtId="238" fontId="56" fillId="0" borderId="0"/>
    <xf numFmtId="238" fontId="56" fillId="0" borderId="0"/>
    <xf numFmtId="236" fontId="75" fillId="0" borderId="0"/>
    <xf numFmtId="0" fontId="56" fillId="0" borderId="0"/>
    <xf numFmtId="236" fontId="62" fillId="0" borderId="0"/>
    <xf numFmtId="237" fontId="16" fillId="0" borderId="0"/>
    <xf numFmtId="238" fontId="56" fillId="0" borderId="0"/>
    <xf numFmtId="238" fontId="56" fillId="0" borderId="0"/>
    <xf numFmtId="0" fontId="56" fillId="0" borderId="0"/>
    <xf numFmtId="0" fontId="56" fillId="0" borderId="0"/>
    <xf numFmtId="239" fontId="56" fillId="0" borderId="0"/>
    <xf numFmtId="169" fontId="56" fillId="0" borderId="0"/>
    <xf numFmtId="240" fontId="56" fillId="0" borderId="0"/>
    <xf numFmtId="239" fontId="56" fillId="0" borderId="0"/>
    <xf numFmtId="169" fontId="56" fillId="0" borderId="0"/>
    <xf numFmtId="241" fontId="56" fillId="0" borderId="0"/>
    <xf numFmtId="241" fontId="56" fillId="0" borderId="0"/>
    <xf numFmtId="176" fontId="56" fillId="0" borderId="0"/>
    <xf numFmtId="240" fontId="56" fillId="0" borderId="0"/>
    <xf numFmtId="168" fontId="56" fillId="0" borderId="0"/>
    <xf numFmtId="176" fontId="56" fillId="0" borderId="0"/>
    <xf numFmtId="176" fontId="56" fillId="0" borderId="0"/>
    <xf numFmtId="0" fontId="56" fillId="0" borderId="0"/>
    <xf numFmtId="235" fontId="16" fillId="0" borderId="0" applyFont="0" applyFill="0" applyBorder="0" applyAlignment="0" applyProtection="0"/>
    <xf numFmtId="235" fontId="16" fillId="0" borderId="0" applyFont="0" applyFill="0" applyBorder="0" applyAlignment="0" applyProtection="0"/>
    <xf numFmtId="235" fontId="16" fillId="0" borderId="0" applyFont="0" applyFill="0" applyBorder="0" applyAlignment="0" applyProtection="0"/>
    <xf numFmtId="236" fontId="75" fillId="0" borderId="0"/>
    <xf numFmtId="236" fontId="75" fillId="0" borderId="0"/>
    <xf numFmtId="235" fontId="16" fillId="0" borderId="0" applyFont="0" applyFill="0" applyBorder="0" applyAlignment="0" applyProtection="0"/>
    <xf numFmtId="236" fontId="75" fillId="0" borderId="0"/>
    <xf numFmtId="236" fontId="75" fillId="0" borderId="0"/>
    <xf numFmtId="239" fontId="56" fillId="0" borderId="0"/>
    <xf numFmtId="169" fontId="56" fillId="0" borderId="0"/>
    <xf numFmtId="240" fontId="56" fillId="0" borderId="0"/>
    <xf numFmtId="239" fontId="56" fillId="0" borderId="0"/>
    <xf numFmtId="169" fontId="56" fillId="0" borderId="0"/>
    <xf numFmtId="241" fontId="56" fillId="0" borderId="0"/>
    <xf numFmtId="241" fontId="56" fillId="0" borderId="0"/>
    <xf numFmtId="176" fontId="56" fillId="0" borderId="0"/>
    <xf numFmtId="240" fontId="56" fillId="0" borderId="0"/>
    <xf numFmtId="168" fontId="56" fillId="0" borderId="0"/>
    <xf numFmtId="176" fontId="56" fillId="0" borderId="0"/>
    <xf numFmtId="176" fontId="56" fillId="0" borderId="0"/>
    <xf numFmtId="242" fontId="24" fillId="11" borderId="0" applyFont="0" applyFill="0" applyBorder="0" applyAlignment="0" applyProtection="0"/>
    <xf numFmtId="243" fontId="24" fillId="11" borderId="0" applyFont="0" applyFill="0" applyBorder="0" applyAlignment="0" applyProtection="0"/>
    <xf numFmtId="244" fontId="16" fillId="0" borderId="0" applyFont="0" applyFill="0" applyBorder="0" applyAlignment="0" applyProtection="0"/>
    <xf numFmtId="9" fontId="16" fillId="0" borderId="0" applyFont="0" applyFill="0" applyBorder="0" applyAlignment="0" applyProtection="0"/>
    <xf numFmtId="245" fontId="61" fillId="0" borderId="0" applyFont="0" applyFill="0" applyBorder="0" applyAlignment="0" applyProtection="0"/>
    <xf numFmtId="246" fontId="52" fillId="0" borderId="0" applyFont="0" applyFill="0" applyBorder="0" applyAlignment="0" applyProtection="0"/>
    <xf numFmtId="247" fontId="16" fillId="0" borderId="0" applyFont="0" applyFill="0" applyBorder="0" applyAlignment="0" applyProtection="0"/>
    <xf numFmtId="248" fontId="54" fillId="0" borderId="0" applyFont="0" applyFill="0" applyBorder="0" applyAlignment="0" applyProtection="0"/>
    <xf numFmtId="249" fontId="54" fillId="0" borderId="0" applyFont="0" applyFill="0" applyBorder="0" applyAlignment="0" applyProtection="0"/>
    <xf numFmtId="250" fontId="54" fillId="0" borderId="0" applyFont="0" applyFill="0" applyBorder="0" applyAlignment="0" applyProtection="0"/>
    <xf numFmtId="251" fontId="54" fillId="0" borderId="0" applyFont="0" applyFill="0" applyBorder="0" applyAlignment="0" applyProtection="0"/>
    <xf numFmtId="252" fontId="61" fillId="0" borderId="0" applyFont="0" applyFill="0" applyBorder="0" applyAlignment="0" applyProtection="0"/>
    <xf numFmtId="253" fontId="52" fillId="0" borderId="0" applyFont="0" applyFill="0" applyBorder="0" applyAlignment="0" applyProtection="0"/>
    <xf numFmtId="254" fontId="61" fillId="0" borderId="0" applyFont="0" applyFill="0" applyBorder="0" applyAlignment="0" applyProtection="0"/>
    <xf numFmtId="255" fontId="52" fillId="0" borderId="0" applyFont="0" applyFill="0" applyBorder="0" applyAlignment="0" applyProtection="0"/>
    <xf numFmtId="256" fontId="61" fillId="0" borderId="0" applyFont="0" applyFill="0" applyBorder="0" applyAlignment="0" applyProtection="0"/>
    <xf numFmtId="257" fontId="52" fillId="0" borderId="0" applyFont="0" applyFill="0" applyBorder="0" applyAlignment="0" applyProtection="0"/>
    <xf numFmtId="258" fontId="19" fillId="0" borderId="0" applyFont="0" applyFill="0" applyBorder="0" applyAlignment="0" applyProtection="0">
      <protection locked="0"/>
    </xf>
    <xf numFmtId="259" fontId="52" fillId="0" borderId="0" applyFont="0" applyFill="0" applyBorder="0" applyAlignment="0" applyProtection="0"/>
    <xf numFmtId="9" fontId="26" fillId="0" borderId="0" applyFont="0" applyFill="0" applyBorder="0" applyAlignment="0" applyProtection="0"/>
    <xf numFmtId="9" fontId="16" fillId="0" borderId="0" applyFont="0" applyFill="0" applyBorder="0" applyAlignment="0" applyProtection="0"/>
    <xf numFmtId="9" fontId="5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189" fontId="62" fillId="0" borderId="0" applyFill="0" applyBorder="0" applyAlignment="0" applyProtection="0"/>
    <xf numFmtId="9" fontId="66" fillId="0" borderId="0" applyBorder="0"/>
    <xf numFmtId="170" fontId="66" fillId="0" borderId="0" applyBorder="0"/>
    <xf numFmtId="10" fontId="66" fillId="0" borderId="0" applyBorder="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6" fillId="0" borderId="0">
      <alignment horizontal="left" vertical="top"/>
    </xf>
    <xf numFmtId="0" fontId="38" fillId="0" borderId="8">
      <alignment horizontal="center"/>
    </xf>
    <xf numFmtId="3" fontId="37" fillId="0" borderId="0" applyFont="0" applyFill="0" applyBorder="0" applyAlignment="0" applyProtection="0"/>
    <xf numFmtId="0" fontId="37" fillId="12" borderId="0" applyNumberFormat="0" applyFont="0" applyBorder="0" applyAlignment="0" applyProtection="0"/>
    <xf numFmtId="3" fontId="16" fillId="0" borderId="0">
      <alignment horizontal="right" vertical="top"/>
    </xf>
    <xf numFmtId="41" fontId="23" fillId="9" borderId="11" applyFill="0"/>
    <xf numFmtId="0" fontId="39" fillId="0" borderId="0">
      <alignment horizontal="left" indent="7"/>
    </xf>
    <xf numFmtId="41" fontId="23" fillId="0" borderId="11" applyFill="0">
      <alignment horizontal="left" indent="2"/>
    </xf>
    <xf numFmtId="172" fontId="40" fillId="0" borderId="1" applyFill="0">
      <alignment horizontal="right"/>
    </xf>
    <xf numFmtId="0" fontId="41" fillId="0" borderId="9" applyNumberFormat="0" applyFont="0" applyBorder="0">
      <alignment horizontal="right"/>
    </xf>
    <xf numFmtId="0" fontId="42" fillId="0" borderId="0" applyFill="0"/>
    <xf numFmtId="0" fontId="18" fillId="0" borderId="0" applyFill="0"/>
    <xf numFmtId="4" fontId="40" fillId="0" borderId="1" applyFill="0"/>
    <xf numFmtId="0" fontId="16" fillId="0" borderId="0" applyNumberFormat="0" applyFont="0" applyBorder="0" applyAlignment="0"/>
    <xf numFmtId="0" fontId="21" fillId="0" borderId="0" applyFill="0">
      <alignment horizontal="left" indent="1"/>
    </xf>
    <xf numFmtId="0" fontId="43" fillId="0" borderId="0" applyFill="0">
      <alignment horizontal="left" indent="1"/>
    </xf>
    <xf numFmtId="4" fontId="24" fillId="0" borderId="0" applyFill="0"/>
    <xf numFmtId="0" fontId="16" fillId="0" borderId="0" applyNumberFormat="0" applyFont="0" applyFill="0" applyBorder="0" applyAlignment="0"/>
    <xf numFmtId="0" fontId="21" fillId="0" borderId="0" applyFill="0">
      <alignment horizontal="left" indent="2"/>
    </xf>
    <xf numFmtId="0" fontId="18" fillId="0" borderId="0" applyFill="0">
      <alignment horizontal="left" indent="2"/>
    </xf>
    <xf numFmtId="4" fontId="24" fillId="0" borderId="0" applyFill="0"/>
    <xf numFmtId="0" fontId="16" fillId="0" borderId="0" applyNumberFormat="0" applyFont="0" applyBorder="0" applyAlignment="0"/>
    <xf numFmtId="0" fontId="44" fillId="0" borderId="0">
      <alignment horizontal="left" indent="3"/>
    </xf>
    <xf numFmtId="0" fontId="45" fillId="0" borderId="0" applyFill="0">
      <alignment horizontal="left" indent="3"/>
    </xf>
    <xf numFmtId="4" fontId="24" fillId="0" borderId="0" applyFill="0"/>
    <xf numFmtId="0" fontId="16" fillId="0" borderId="0" applyNumberFormat="0" applyFont="0" applyBorder="0" applyAlignment="0"/>
    <xf numFmtId="0" fontId="25" fillId="0" borderId="0">
      <alignment horizontal="left" indent="4"/>
    </xf>
    <xf numFmtId="0" fontId="26" fillId="0" borderId="0" applyFill="0">
      <alignment horizontal="left" indent="4"/>
    </xf>
    <xf numFmtId="0" fontId="16" fillId="0" borderId="0" applyFill="0">
      <alignment horizontal="left" indent="4"/>
    </xf>
    <xf numFmtId="4" fontId="27" fillId="0" borderId="0" applyFill="0"/>
    <xf numFmtId="0" fontId="16" fillId="0" borderId="0" applyNumberFormat="0" applyFont="0" applyBorder="0" applyAlignment="0"/>
    <xf numFmtId="0" fontId="28" fillId="0" borderId="0">
      <alignment horizontal="left" indent="5"/>
    </xf>
    <xf numFmtId="0" fontId="29" fillId="0" borderId="0" applyFill="0">
      <alignment horizontal="left" indent="5"/>
    </xf>
    <xf numFmtId="4" fontId="30" fillId="0" borderId="0" applyFill="0"/>
    <xf numFmtId="0" fontId="16" fillId="0" borderId="0" applyNumberFormat="0" applyFont="0" applyFill="0" applyBorder="0" applyAlignment="0"/>
    <xf numFmtId="0" fontId="31" fillId="0" borderId="0" applyFill="0">
      <alignment horizontal="left" indent="6"/>
    </xf>
    <xf numFmtId="0" fontId="27" fillId="0" borderId="0" applyFill="0">
      <alignment horizontal="left" indent="6"/>
    </xf>
    <xf numFmtId="0" fontId="65" fillId="0" borderId="12" applyNumberFormat="0" applyFont="0" applyFill="0" applyAlignment="0" applyProtection="0"/>
    <xf numFmtId="0" fontId="76" fillId="0" borderId="0" applyNumberFormat="0" applyFill="0" applyBorder="0" applyAlignment="0" applyProtection="0"/>
    <xf numFmtId="0" fontId="77" fillId="0" borderId="0"/>
    <xf numFmtId="0" fontId="77" fillId="0" borderId="0"/>
    <xf numFmtId="0" fontId="53" fillId="0" borderId="8">
      <alignment horizontal="right"/>
    </xf>
    <xf numFmtId="0" fontId="15" fillId="13" borderId="0"/>
    <xf numFmtId="260" fontId="63" fillId="0" borderId="0">
      <alignment horizontal="center"/>
    </xf>
    <xf numFmtId="261" fontId="78" fillId="0" borderId="0">
      <alignment horizontal="center"/>
    </xf>
    <xf numFmtId="0" fontId="79" fillId="0" borderId="0" applyNumberFormat="0" applyFill="0" applyBorder="0" applyAlignment="0" applyProtection="0"/>
    <xf numFmtId="0" fontId="80" fillId="0" borderId="0" applyNumberFormat="0" applyBorder="0" applyAlignment="0"/>
    <xf numFmtId="0" fontId="49" fillId="0" borderId="0" applyNumberFormat="0" applyBorder="0" applyAlignment="0"/>
    <xf numFmtId="0" fontId="16" fillId="9" borderId="4" applyNumberFormat="0" applyFont="0" applyAlignment="0"/>
    <xf numFmtId="0" fontId="65" fillId="3" borderId="0" applyNumberFormat="0" applyFont="0" applyBorder="0" applyAlignment="0" applyProtection="0"/>
    <xf numFmtId="242" fontId="81" fillId="0" borderId="7" applyNumberFormat="0" applyFont="0" applyFill="0" applyAlignment="0" applyProtection="0"/>
    <xf numFmtId="0" fontId="47" fillId="0" borderId="0" applyFill="0" applyBorder="0" applyProtection="0">
      <alignment horizontal="left" vertical="top"/>
    </xf>
    <xf numFmtId="0" fontId="82" fillId="0" borderId="0" applyAlignment="0">
      <alignment horizontal="centerContinuous"/>
    </xf>
    <xf numFmtId="0" fontId="16" fillId="0" borderId="3" applyNumberFormat="0" applyFont="0" applyFill="0" applyAlignment="0" applyProtection="0"/>
    <xf numFmtId="0" fontId="16" fillId="0" borderId="0" applyFont="0" applyFill="0" applyBorder="0" applyAlignment="0" applyProtection="0"/>
    <xf numFmtId="0" fontId="83" fillId="0" borderId="0" applyNumberFormat="0" applyFill="0" applyBorder="0" applyAlignment="0" applyProtection="0"/>
    <xf numFmtId="262" fontId="52" fillId="0" borderId="0" applyFont="0" applyFill="0" applyBorder="0" applyAlignment="0" applyProtection="0"/>
    <xf numFmtId="263" fontId="52" fillId="0" borderId="0" applyFont="0" applyFill="0" applyBorder="0" applyAlignment="0" applyProtection="0"/>
    <xf numFmtId="264" fontId="52" fillId="0" borderId="0" applyFont="0" applyFill="0" applyBorder="0" applyAlignment="0" applyProtection="0"/>
    <xf numFmtId="265" fontId="52" fillId="0" borderId="0" applyFont="0" applyFill="0" applyBorder="0" applyAlignment="0" applyProtection="0"/>
    <xf numFmtId="266" fontId="52" fillId="0" borderId="0" applyFont="0" applyFill="0" applyBorder="0" applyAlignment="0" applyProtection="0"/>
    <xf numFmtId="267" fontId="52" fillId="0" borderId="0" applyFont="0" applyFill="0" applyBorder="0" applyAlignment="0" applyProtection="0"/>
    <xf numFmtId="268" fontId="52" fillId="0" borderId="0" applyFont="0" applyFill="0" applyBorder="0" applyAlignment="0" applyProtection="0"/>
    <xf numFmtId="269" fontId="52" fillId="0" borderId="0" applyFont="0" applyFill="0" applyBorder="0" applyAlignment="0" applyProtection="0"/>
    <xf numFmtId="270" fontId="84" fillId="3" borderId="13" applyFont="0" applyFill="0" applyBorder="0" applyAlignment="0" applyProtection="0"/>
    <xf numFmtId="270" fontId="56" fillId="0" borderId="0" applyFont="0" applyFill="0" applyBorder="0" applyAlignment="0" applyProtection="0"/>
    <xf numFmtId="271" fontId="59" fillId="0" borderId="0" applyFont="0" applyFill="0" applyBorder="0" applyAlignment="0" applyProtection="0"/>
    <xf numFmtId="272" fontId="63" fillId="0" borderId="7" applyFont="0" applyFill="0" applyBorder="0" applyAlignment="0" applyProtection="0">
      <alignment horizontal="right"/>
      <protection locked="0"/>
    </xf>
    <xf numFmtId="43" fontId="12" fillId="0" borderId="0" applyFont="0" applyFill="0" applyBorder="0" applyAlignment="0" applyProtection="0"/>
    <xf numFmtId="43" fontId="80"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98" fillId="0" borderId="0"/>
    <xf numFmtId="0" fontId="9" fillId="0" borderId="0"/>
    <xf numFmtId="43" fontId="9" fillId="0" borderId="0" applyFont="0" applyFill="0" applyBorder="0" applyAlignment="0" applyProtection="0"/>
    <xf numFmtId="0" fontId="16" fillId="0" borderId="0"/>
    <xf numFmtId="172" fontId="36" fillId="0" borderId="0" applyProtection="0"/>
    <xf numFmtId="0" fontId="8" fillId="0" borderId="0"/>
    <xf numFmtId="0" fontId="7" fillId="0" borderId="0"/>
    <xf numFmtId="172" fontId="36" fillId="0" borderId="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43" fontId="16" fillId="0" borderId="0" applyFont="0" applyFill="0" applyBorder="0" applyAlignment="0" applyProtection="0"/>
    <xf numFmtId="0" fontId="16" fillId="0" borderId="0"/>
    <xf numFmtId="0" fontId="99" fillId="0" borderId="0"/>
    <xf numFmtId="0" fontId="6" fillId="0" borderId="0"/>
    <xf numFmtId="0" fontId="6" fillId="0" borderId="0"/>
    <xf numFmtId="9" fontId="12" fillId="0" borderId="0" applyFont="0" applyFill="0" applyBorder="0" applyAlignment="0" applyProtection="0"/>
    <xf numFmtId="43" fontId="12" fillId="0" borderId="0" applyFont="0" applyFill="0" applyBorder="0" applyAlignment="0" applyProtection="0"/>
    <xf numFmtId="0" fontId="6" fillId="0" borderId="0"/>
    <xf numFmtId="43" fontId="12" fillId="0" borderId="0" applyFont="0" applyFill="0" applyBorder="0" applyAlignment="0" applyProtection="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16" fillId="0" borderId="0" applyFont="0" applyFill="0" applyBorder="0" applyAlignment="0" applyProtection="0"/>
    <xf numFmtId="0" fontId="3" fillId="0" borderId="0"/>
    <xf numFmtId="9" fontId="3" fillId="0" borderId="0" applyFont="0" applyFill="0" applyBorder="0" applyAlignment="0" applyProtection="0"/>
    <xf numFmtId="172" fontId="36" fillId="0" borderId="0" applyProtection="0"/>
    <xf numFmtId="43" fontId="16" fillId="0" borderId="0" applyFont="0" applyFill="0" applyBorder="0" applyAlignment="0" applyProtection="0"/>
    <xf numFmtId="44" fontId="16" fillId="0" borderId="0" applyFont="0" applyFill="0" applyBorder="0" applyAlignment="0" applyProtection="0"/>
    <xf numFmtId="0" fontId="32" fillId="0" borderId="0" applyFont="0" applyFill="0" applyBorder="0" applyAlignment="0" applyProtection="0"/>
    <xf numFmtId="0"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6" fillId="0" borderId="0" applyProtection="0"/>
    <xf numFmtId="9" fontId="16" fillId="0" borderId="0" applyFont="0" applyFill="0" applyBorder="0" applyAlignment="0" applyProtection="0"/>
    <xf numFmtId="0" fontId="16"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2" fontId="36" fillId="0" borderId="0" applyProtection="0"/>
    <xf numFmtId="9" fontId="16" fillId="0" borderId="0" applyFont="0" applyFill="0" applyBorder="0" applyAlignment="0" applyProtection="0"/>
    <xf numFmtId="172" fontId="36" fillId="0" borderId="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2" fontId="36" fillId="0" borderId="0" applyProtection="0"/>
    <xf numFmtId="44" fontId="16" fillId="0" borderId="0" applyFont="0" applyFill="0" applyBorder="0" applyAlignment="0" applyProtection="0"/>
    <xf numFmtId="44" fontId="16" fillId="0" borderId="0" applyFont="0" applyFill="0" applyBorder="0" applyAlignment="0" applyProtection="0"/>
    <xf numFmtId="172" fontId="36" fillId="0" borderId="0" applyProtection="0"/>
    <xf numFmtId="172" fontId="36" fillId="0" borderId="0" applyProtection="0"/>
    <xf numFmtId="9" fontId="16"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172" fontId="36" fillId="0" borderId="0" applyProtection="0"/>
    <xf numFmtId="9"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72" fontId="36" fillId="0" borderId="0" applyProtection="0"/>
    <xf numFmtId="9"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172" fontId="36" fillId="0" borderId="0" applyProtection="0"/>
    <xf numFmtId="172" fontId="36" fillId="0" borderId="0" applyProtection="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44" fontId="16" fillId="0" borderId="0" applyFont="0" applyFill="0" applyBorder="0" applyAlignment="0" applyProtection="0"/>
    <xf numFmtId="42" fontId="16" fillId="0" borderId="0" applyFont="0" applyFill="0" applyBorder="0" applyAlignment="0" applyProtection="0"/>
    <xf numFmtId="43" fontId="16" fillId="0" borderId="0" applyFont="0" applyFill="0" applyBorder="0" applyAlignment="0" applyProtection="0"/>
    <xf numFmtId="0" fontId="37" fillId="0" borderId="0" applyNumberFormat="0" applyFont="0" applyFill="0" applyBorder="0" applyProtection="0"/>
    <xf numFmtId="43"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72" fontId="36" fillId="0" borderId="0" applyProtection="0"/>
    <xf numFmtId="0" fontId="132" fillId="0" borderId="0"/>
    <xf numFmtId="43" fontId="16" fillId="0" borderId="0" applyFont="0" applyFill="0" applyBorder="0" applyAlignment="0" applyProtection="0"/>
    <xf numFmtId="172" fontId="146" fillId="0" borderId="0" applyProtection="0"/>
    <xf numFmtId="9" fontId="16"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172" fontId="146" fillId="0" borderId="0" applyProtection="0"/>
    <xf numFmtId="0" fontId="16" fillId="0" borderId="0"/>
    <xf numFmtId="0" fontId="16" fillId="0" borderId="0"/>
    <xf numFmtId="172" fontId="146" fillId="0" borderId="0" applyProtection="0"/>
    <xf numFmtId="172" fontId="36" fillId="0" borderId="0" applyProtection="0"/>
    <xf numFmtId="0" fontId="16" fillId="0" borderId="0"/>
    <xf numFmtId="0" fontId="16" fillId="0" borderId="0"/>
    <xf numFmtId="9" fontId="16" fillId="0" borderId="0" applyFont="0" applyFill="0" applyBorder="0" applyAlignment="0" applyProtection="0"/>
    <xf numFmtId="43" fontId="1" fillId="0" borderId="0" applyFont="0" applyFill="0" applyBorder="0" applyAlignment="0" applyProtection="0"/>
    <xf numFmtId="0" fontId="1" fillId="0" borderId="0"/>
    <xf numFmtId="44" fontId="16" fillId="0" borderId="0" applyFont="0" applyFill="0" applyBorder="0" applyAlignment="0" applyProtection="0"/>
    <xf numFmtId="44" fontId="16" fillId="0" borderId="0" applyFont="0" applyFill="0" applyBorder="0" applyAlignment="0" applyProtection="0"/>
    <xf numFmtId="0" fontId="16" fillId="0" borderId="0"/>
    <xf numFmtId="0" fontId="147" fillId="0" borderId="0"/>
    <xf numFmtId="43"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172" fontId="146" fillId="0" borderId="0" applyProtection="0"/>
    <xf numFmtId="9" fontId="16" fillId="0" borderId="0" applyFont="0" applyFill="0" applyBorder="0" applyAlignment="0" applyProtection="0"/>
    <xf numFmtId="172" fontId="146" fillId="0" borderId="0" applyProtection="0"/>
  </cellStyleXfs>
  <cellXfs count="1169">
    <xf numFmtId="172" fontId="0" fillId="0" borderId="0" xfId="0" applyAlignment="1"/>
    <xf numFmtId="0" fontId="56" fillId="0" borderId="0" xfId="201" applyNumberFormat="1" applyFont="1" applyFill="1" applyBorder="1" applyProtection="1">
      <protection locked="0"/>
    </xf>
    <xf numFmtId="0" fontId="56" fillId="0" borderId="0" xfId="201" applyNumberFormat="1" applyFont="1" applyFill="1" applyBorder="1"/>
    <xf numFmtId="172" fontId="56" fillId="0" borderId="0" xfId="211" applyFont="1" applyFill="1" applyAlignment="1" applyProtection="1"/>
    <xf numFmtId="3" fontId="56" fillId="0" borderId="0" xfId="211" applyNumberFormat="1" applyFont="1" applyFill="1" applyAlignment="1" applyProtection="1"/>
    <xf numFmtId="169" fontId="56" fillId="0" borderId="0" xfId="211" applyNumberFormat="1" applyFont="1" applyFill="1" applyBorder="1" applyAlignment="1" applyProtection="1"/>
    <xf numFmtId="172" fontId="56" fillId="0" borderId="0" xfId="0" applyFont="1" applyFill="1"/>
    <xf numFmtId="172" fontId="46" fillId="0" borderId="0" xfId="0" applyFont="1" applyAlignment="1"/>
    <xf numFmtId="169" fontId="46" fillId="0" borderId="0" xfId="0" applyNumberFormat="1" applyFont="1" applyAlignment="1"/>
    <xf numFmtId="169" fontId="56" fillId="0" borderId="0" xfId="211" applyNumberFormat="1" applyFont="1" applyFill="1" applyBorder="1" applyAlignment="1" applyProtection="1">
      <alignment vertical="top"/>
    </xf>
    <xf numFmtId="3" fontId="56" fillId="0" borderId="0" xfId="211" applyNumberFormat="1" applyFont="1" applyFill="1" applyAlignment="1" applyProtection="1">
      <alignment vertical="top"/>
    </xf>
    <xf numFmtId="173" fontId="46" fillId="0" borderId="0" xfId="59" applyNumberFormat="1" applyFont="1" applyAlignment="1"/>
    <xf numFmtId="172" fontId="56" fillId="0" borderId="0" xfId="0" applyNumberFormat="1" applyFont="1" applyFill="1" applyBorder="1" applyAlignment="1" applyProtection="1"/>
    <xf numFmtId="172" fontId="56" fillId="0" borderId="0" xfId="201" applyFont="1" applyFill="1" applyBorder="1" applyAlignment="1"/>
    <xf numFmtId="172" fontId="56" fillId="0" borderId="0" xfId="0" applyFont="1" applyFill="1" applyBorder="1" applyAlignment="1">
      <alignment horizontal="center"/>
    </xf>
    <xf numFmtId="172" fontId="126" fillId="0" borderId="0" xfId="0" applyFont="1" applyAlignment="1" applyProtection="1">
      <alignment vertical="center"/>
    </xf>
    <xf numFmtId="172" fontId="46" fillId="0" borderId="0" xfId="0" applyFont="1" applyAlignment="1" applyProtection="1"/>
    <xf numFmtId="172" fontId="46" fillId="0" borderId="0" xfId="0" applyFont="1" applyAlignment="1" applyProtection="1">
      <alignment horizontal="center"/>
    </xf>
    <xf numFmtId="0" fontId="56" fillId="0" borderId="0" xfId="188" applyFont="1" applyFill="1" applyProtection="1"/>
    <xf numFmtId="0" fontId="63" fillId="0" borderId="0" xfId="188" applyFont="1" applyFill="1" applyProtection="1"/>
    <xf numFmtId="0" fontId="56" fillId="0" borderId="0" xfId="188" applyFont="1" applyFill="1" applyAlignment="1" applyProtection="1">
      <alignment horizontal="right"/>
    </xf>
    <xf numFmtId="172" fontId="56" fillId="0" borderId="0" xfId="0" applyFont="1" applyFill="1" applyAlignment="1" applyProtection="1"/>
    <xf numFmtId="0" fontId="56" fillId="0" borderId="0" xfId="211" applyNumberFormat="1" applyFont="1" applyFill="1" applyAlignment="1" applyProtection="1"/>
    <xf numFmtId="172" fontId="56" fillId="0" borderId="0" xfId="211" applyNumberFormat="1" applyFont="1" applyFill="1" applyAlignment="1" applyProtection="1"/>
    <xf numFmtId="0" fontId="56" fillId="0" borderId="0" xfId="211" applyNumberFormat="1" applyFont="1" applyFill="1" applyAlignment="1" applyProtection="1">
      <alignment horizontal="center"/>
    </xf>
    <xf numFmtId="0" fontId="56" fillId="0" borderId="0" xfId="211" applyNumberFormat="1" applyFont="1" applyFill="1" applyProtection="1"/>
    <xf numFmtId="0" fontId="56" fillId="17" borderId="0" xfId="201" applyNumberFormat="1" applyFont="1" applyFill="1" applyAlignment="1" applyProtection="1">
      <alignment horizontal="right"/>
    </xf>
    <xf numFmtId="3" fontId="56" fillId="0" borderId="0" xfId="211" applyNumberFormat="1" applyFont="1" applyFill="1" applyAlignment="1" applyProtection="1">
      <alignment horizontal="center"/>
    </xf>
    <xf numFmtId="0" fontId="91" fillId="0" borderId="0" xfId="211" applyNumberFormat="1" applyFont="1" applyFill="1" applyProtection="1"/>
    <xf numFmtId="172" fontId="97" fillId="0" borderId="0" xfId="0" applyFont="1" applyFill="1" applyAlignment="1" applyProtection="1">
      <alignment horizontal="center" vertical="center"/>
    </xf>
    <xf numFmtId="49" fontId="56" fillId="0" borderId="0" xfId="211" applyNumberFormat="1" applyFont="1" applyFill="1" applyAlignment="1" applyProtection="1"/>
    <xf numFmtId="49" fontId="56" fillId="0" borderId="0" xfId="211" applyNumberFormat="1" applyFont="1" applyFill="1" applyAlignment="1" applyProtection="1">
      <alignment horizontal="center"/>
    </xf>
    <xf numFmtId="173" fontId="56" fillId="0" borderId="0" xfId="59" applyNumberFormat="1" applyFont="1" applyFill="1" applyProtection="1"/>
    <xf numFmtId="173" fontId="56" fillId="0" borderId="0" xfId="59" applyNumberFormat="1" applyFont="1" applyFill="1" applyAlignment="1" applyProtection="1">
      <alignment horizontal="center"/>
    </xf>
    <xf numFmtId="49" fontId="56" fillId="0" borderId="0" xfId="211" applyNumberFormat="1" applyFont="1" applyFill="1" applyProtection="1"/>
    <xf numFmtId="0" fontId="56" fillId="0" borderId="8" xfId="211" applyNumberFormat="1" applyFont="1" applyFill="1" applyBorder="1" applyAlignment="1" applyProtection="1">
      <alignment horizontal="center"/>
    </xf>
    <xf numFmtId="173" fontId="56" fillId="0" borderId="8" xfId="59" applyNumberFormat="1" applyFont="1" applyFill="1" applyBorder="1" applyAlignment="1" applyProtection="1">
      <alignment horizontal="center"/>
    </xf>
    <xf numFmtId="3" fontId="56" fillId="0" borderId="0" xfId="211" applyNumberFormat="1" applyFont="1" applyFill="1" applyProtection="1"/>
    <xf numFmtId="43" fontId="56" fillId="0" borderId="0" xfId="59" applyNumberFormat="1" applyFont="1" applyFill="1" applyProtection="1"/>
    <xf numFmtId="173" fontId="56" fillId="0" borderId="0" xfId="59" applyNumberFormat="1" applyFont="1" applyFill="1" applyAlignment="1" applyProtection="1"/>
    <xf numFmtId="0" fontId="56" fillId="0" borderId="8" xfId="211" applyNumberFormat="1" applyFont="1" applyFill="1" applyBorder="1" applyAlignment="1" applyProtection="1">
      <alignment horizontal="centerContinuous"/>
    </xf>
    <xf numFmtId="43" fontId="56" fillId="0" borderId="0" xfId="59" applyFont="1" applyFill="1" applyAlignment="1" applyProtection="1"/>
    <xf numFmtId="10" fontId="56" fillId="0" borderId="0" xfId="266" applyNumberFormat="1" applyFont="1" applyFill="1" applyAlignment="1" applyProtection="1"/>
    <xf numFmtId="3" fontId="56" fillId="0" borderId="0" xfId="188" applyNumberFormat="1" applyFont="1" applyFill="1" applyAlignment="1" applyProtection="1"/>
    <xf numFmtId="3" fontId="56" fillId="0" borderId="0" xfId="211" applyNumberFormat="1" applyFont="1" applyFill="1" applyBorder="1" applyProtection="1"/>
    <xf numFmtId="3" fontId="56" fillId="0" borderId="0" xfId="211" applyNumberFormat="1" applyFont="1" applyFill="1" applyAlignment="1" applyProtection="1">
      <alignment horizontal="left"/>
    </xf>
    <xf numFmtId="173" fontId="56" fillId="0" borderId="8" xfId="59" applyNumberFormat="1" applyFont="1" applyFill="1" applyBorder="1" applyAlignment="1" applyProtection="1"/>
    <xf numFmtId="3" fontId="56" fillId="0" borderId="0" xfId="211" applyNumberFormat="1" applyFont="1" applyFill="1" applyAlignment="1" applyProtection="1">
      <alignment horizontal="fill"/>
    </xf>
    <xf numFmtId="173" fontId="56" fillId="0" borderId="18" xfId="59" applyNumberFormat="1" applyFont="1" applyFill="1" applyBorder="1" applyAlignment="1" applyProtection="1">
      <alignment horizontal="right"/>
    </xf>
    <xf numFmtId="43" fontId="56" fillId="0" borderId="0" xfId="211" applyNumberFormat="1" applyFont="1" applyFill="1" applyProtection="1"/>
    <xf numFmtId="0" fontId="56" fillId="0" borderId="0" xfId="206" applyNumberFormat="1" applyFont="1" applyFill="1" applyBorder="1" applyProtection="1"/>
    <xf numFmtId="3" fontId="56" fillId="0" borderId="0" xfId="211" applyNumberFormat="1" applyFont="1" applyFill="1" applyBorder="1" applyAlignment="1" applyProtection="1">
      <alignment horizontal="fill"/>
    </xf>
    <xf numFmtId="3" fontId="56" fillId="0" borderId="0" xfId="211" applyNumberFormat="1" applyFont="1" applyFill="1" applyBorder="1" applyAlignment="1" applyProtection="1"/>
    <xf numFmtId="173" fontId="56" fillId="0" borderId="0" xfId="59" applyNumberFormat="1" applyFont="1" applyFill="1" applyBorder="1" applyAlignment="1" applyProtection="1"/>
    <xf numFmtId="0" fontId="56" fillId="0" borderId="0" xfId="211" applyNumberFormat="1" applyFont="1" applyFill="1" applyBorder="1" applyProtection="1"/>
    <xf numFmtId="0" fontId="56" fillId="0" borderId="0" xfId="206" applyNumberFormat="1" applyFont="1" applyFill="1" applyAlignment="1" applyProtection="1"/>
    <xf numFmtId="173" fontId="56" fillId="0" borderId="0" xfId="59" applyNumberFormat="1" applyFont="1" applyFill="1" applyBorder="1" applyProtection="1"/>
    <xf numFmtId="0" fontId="56" fillId="0" borderId="0" xfId="206" applyNumberFormat="1" applyFont="1" applyFill="1" applyAlignment="1" applyProtection="1">
      <alignment horizontal="center"/>
    </xf>
    <xf numFmtId="0" fontId="56" fillId="0" borderId="0" xfId="206" applyNumberFormat="1" applyFont="1" applyFill="1" applyBorder="1" applyAlignment="1" applyProtection="1">
      <alignment horizontal="left"/>
    </xf>
    <xf numFmtId="43" fontId="56" fillId="0" borderId="0" xfId="59" applyFont="1" applyFill="1" applyBorder="1" applyAlignment="1" applyProtection="1"/>
    <xf numFmtId="0" fontId="56" fillId="0" borderId="0" xfId="206" applyNumberFormat="1" applyFont="1" applyFill="1" applyBorder="1" applyAlignment="1" applyProtection="1"/>
    <xf numFmtId="166" fontId="56" fillId="0" borderId="0" xfId="206" applyNumberFormat="1" applyFont="1" applyFill="1" applyBorder="1" applyAlignment="1" applyProtection="1"/>
    <xf numFmtId="172" fontId="56" fillId="0" borderId="0" xfId="0" applyFont="1" applyFill="1" applyBorder="1" applyAlignment="1" applyProtection="1"/>
    <xf numFmtId="0" fontId="56" fillId="0" borderId="0" xfId="206" applyFont="1" applyFill="1" applyBorder="1" applyAlignment="1" applyProtection="1"/>
    <xf numFmtId="173" fontId="56" fillId="0" borderId="0" xfId="211" applyNumberFormat="1" applyFont="1" applyFill="1" applyBorder="1" applyProtection="1"/>
    <xf numFmtId="3" fontId="56" fillId="0" borderId="0" xfId="206" applyNumberFormat="1" applyFont="1" applyFill="1" applyBorder="1" applyAlignment="1" applyProtection="1"/>
    <xf numFmtId="173" fontId="56" fillId="0" borderId="0" xfId="59" applyNumberFormat="1" applyFont="1" applyFill="1" applyBorder="1" applyAlignment="1" applyProtection="1">
      <alignment horizontal="right"/>
    </xf>
    <xf numFmtId="172" fontId="56" fillId="0" borderId="0" xfId="211" applyFont="1" applyFill="1" applyBorder="1" applyAlignment="1" applyProtection="1"/>
    <xf numFmtId="0" fontId="56" fillId="0" borderId="0" xfId="211" applyNumberFormat="1" applyFont="1" applyFill="1" applyBorder="1" applyAlignment="1" applyProtection="1">
      <alignment horizontal="center"/>
    </xf>
    <xf numFmtId="0" fontId="56" fillId="0" borderId="0" xfId="211" applyNumberFormat="1" applyFont="1" applyFill="1" applyBorder="1" applyAlignment="1" applyProtection="1"/>
    <xf numFmtId="171" fontId="56" fillId="0" borderId="0" xfId="211" applyNumberFormat="1" applyFont="1" applyFill="1" applyBorder="1" applyProtection="1"/>
    <xf numFmtId="171" fontId="56" fillId="0" borderId="0" xfId="211" applyNumberFormat="1" applyFont="1" applyFill="1" applyProtection="1"/>
    <xf numFmtId="169" fontId="56" fillId="0" borderId="0" xfId="211" applyNumberFormat="1" applyFont="1" applyFill="1" applyProtection="1"/>
    <xf numFmtId="278" fontId="56" fillId="0" borderId="0" xfId="211" applyNumberFormat="1" applyFont="1" applyFill="1" applyProtection="1"/>
    <xf numFmtId="168" fontId="56" fillId="0" borderId="0" xfId="211" applyNumberFormat="1" applyFont="1" applyFill="1" applyProtection="1"/>
    <xf numFmtId="0" fontId="56" fillId="0" borderId="0" xfId="211" applyNumberFormat="1" applyFont="1" applyFill="1" applyAlignment="1" applyProtection="1">
      <alignment horizontal="right"/>
    </xf>
    <xf numFmtId="3" fontId="63" fillId="0" borderId="0" xfId="211" applyNumberFormat="1" applyFont="1" applyFill="1" applyAlignment="1" applyProtection="1">
      <alignment horizontal="center"/>
    </xf>
    <xf numFmtId="0" fontId="63" fillId="0" borderId="0" xfId="211" applyNumberFormat="1" applyFont="1" applyFill="1" applyAlignment="1" applyProtection="1">
      <alignment horizontal="center"/>
    </xf>
    <xf numFmtId="172" fontId="63" fillId="0" borderId="0" xfId="211" applyFont="1" applyFill="1" applyAlignment="1" applyProtection="1">
      <alignment horizontal="center"/>
    </xf>
    <xf numFmtId="3" fontId="63" fillId="0" borderId="0" xfId="211" applyNumberFormat="1" applyFont="1" applyFill="1" applyAlignment="1" applyProtection="1"/>
    <xf numFmtId="0" fontId="63" fillId="0" borderId="0" xfId="211" applyNumberFormat="1" applyFont="1" applyFill="1" applyAlignment="1" applyProtection="1"/>
    <xf numFmtId="165" fontId="56" fillId="0" borderId="0" xfId="211" applyNumberFormat="1" applyFont="1" applyFill="1" applyAlignment="1" applyProtection="1"/>
    <xf numFmtId="10" fontId="56" fillId="0" borderId="0" xfId="266" applyNumberFormat="1" applyFont="1" applyFill="1" applyAlignment="1" applyProtection="1">
      <alignment horizontal="center"/>
    </xf>
    <xf numFmtId="164" fontId="56" fillId="0" borderId="0" xfId="211" applyNumberFormat="1" applyFont="1" applyFill="1" applyAlignment="1" applyProtection="1">
      <alignment horizontal="center"/>
    </xf>
    <xf numFmtId="10" fontId="56" fillId="0" borderId="0" xfId="266" applyNumberFormat="1" applyFont="1" applyFill="1" applyAlignment="1" applyProtection="1">
      <alignment horizontal="right"/>
    </xf>
    <xf numFmtId="0" fontId="56" fillId="0" borderId="0" xfId="206" applyFont="1" applyFill="1" applyAlignment="1" applyProtection="1"/>
    <xf numFmtId="3" fontId="56" fillId="0" borderId="0" xfId="206" applyNumberFormat="1" applyFont="1" applyFill="1" applyAlignment="1" applyProtection="1"/>
    <xf numFmtId="10" fontId="56" fillId="0" borderId="0" xfId="266" applyNumberFormat="1" applyFont="1" applyFill="1" applyBorder="1" applyAlignment="1" applyProtection="1"/>
    <xf numFmtId="172" fontId="56" fillId="0" borderId="0" xfId="0" applyFont="1" applyFill="1" applyProtection="1"/>
    <xf numFmtId="172" fontId="56" fillId="0" borderId="0" xfId="0" applyFont="1" applyFill="1" applyBorder="1" applyProtection="1"/>
    <xf numFmtId="3" fontId="56" fillId="0" borderId="0" xfId="211" quotePrefix="1" applyNumberFormat="1" applyFont="1" applyFill="1" applyAlignment="1" applyProtection="1">
      <alignment horizontal="left"/>
    </xf>
    <xf numFmtId="0" fontId="56" fillId="0" borderId="0" xfId="188" applyNumberFormat="1" applyFont="1" applyFill="1" applyProtection="1"/>
    <xf numFmtId="173" fontId="56" fillId="0" borderId="18" xfId="59" applyNumberFormat="1" applyFont="1" applyFill="1" applyBorder="1" applyAlignment="1" applyProtection="1"/>
    <xf numFmtId="164" fontId="56" fillId="0" borderId="0" xfId="188" applyNumberFormat="1" applyFont="1" applyFill="1" applyAlignment="1" applyProtection="1">
      <alignment horizontal="center"/>
    </xf>
    <xf numFmtId="0" fontId="46" fillId="0" borderId="0" xfId="0" applyNumberFormat="1" applyFont="1" applyFill="1" applyBorder="1" applyAlignment="1" applyProtection="1">
      <alignment horizontal="left"/>
    </xf>
    <xf numFmtId="172" fontId="46" fillId="0" borderId="0" xfId="0" applyFont="1" applyFill="1" applyProtection="1"/>
    <xf numFmtId="172" fontId="46" fillId="0" borderId="0" xfId="0" applyFont="1" applyFill="1" applyBorder="1" applyAlignment="1" applyProtection="1">
      <alignment horizontal="left"/>
    </xf>
    <xf numFmtId="3" fontId="46" fillId="0" borderId="0" xfId="0" applyNumberFormat="1" applyFont="1" applyFill="1" applyBorder="1" applyAlignment="1" applyProtection="1"/>
    <xf numFmtId="172" fontId="46" fillId="0" borderId="0" xfId="0" applyFont="1" applyFill="1" applyBorder="1" applyProtection="1"/>
    <xf numFmtId="3" fontId="46" fillId="0" borderId="0" xfId="0" applyNumberFormat="1" applyFont="1" applyFill="1" applyBorder="1" applyAlignment="1" applyProtection="1">
      <alignment horizontal="right"/>
    </xf>
    <xf numFmtId="3" fontId="56" fillId="0" borderId="0" xfId="188" applyNumberFormat="1" applyFont="1" applyFill="1" applyBorder="1" applyAlignment="1" applyProtection="1"/>
    <xf numFmtId="172" fontId="129" fillId="0" borderId="0" xfId="0" applyFont="1" applyFill="1" applyBorder="1" applyAlignment="1" applyProtection="1">
      <alignment horizontal="center"/>
    </xf>
    <xf numFmtId="3" fontId="56" fillId="0" borderId="0" xfId="211" applyNumberFormat="1" applyFont="1" applyFill="1" applyAlignment="1" applyProtection="1">
      <alignment horizontal="right"/>
    </xf>
    <xf numFmtId="172" fontId="46" fillId="0" borderId="0" xfId="0" applyFont="1" applyFill="1" applyAlignment="1" applyProtection="1">
      <alignment horizontal="center"/>
    </xf>
    <xf numFmtId="3" fontId="56" fillId="0" borderId="0" xfId="211" quotePrefix="1" applyNumberFormat="1" applyFont="1" applyFill="1" applyAlignment="1" applyProtection="1"/>
    <xf numFmtId="0" fontId="56" fillId="0" borderId="0" xfId="211" applyNumberFormat="1" applyFont="1" applyFill="1" applyAlignment="1" applyProtection="1">
      <alignment wrapText="1"/>
    </xf>
    <xf numFmtId="3" fontId="56" fillId="0" borderId="0" xfId="211" applyNumberFormat="1" applyFont="1" applyFill="1" applyAlignment="1" applyProtection="1">
      <alignment wrapText="1"/>
    </xf>
    <xf numFmtId="0" fontId="56" fillId="0" borderId="0" xfId="211" quotePrefix="1" applyNumberFormat="1" applyFont="1" applyFill="1" applyAlignment="1" applyProtection="1">
      <alignment horizontal="left"/>
    </xf>
    <xf numFmtId="0" fontId="56" fillId="0" borderId="0" xfId="211" applyNumberFormat="1" applyFont="1" applyFill="1" applyAlignment="1" applyProtection="1">
      <alignment horizontal="left" indent="2"/>
    </xf>
    <xf numFmtId="0" fontId="56" fillId="0" borderId="0" xfId="0" applyNumberFormat="1" applyFont="1" applyFill="1" applyAlignment="1" applyProtection="1">
      <alignment horizontal="left"/>
    </xf>
    <xf numFmtId="164" fontId="56" fillId="0" borderId="0" xfId="211" applyNumberFormat="1" applyFont="1" applyFill="1" applyAlignment="1" applyProtection="1">
      <alignment horizontal="left"/>
    </xf>
    <xf numFmtId="182" fontId="56" fillId="0" borderId="0" xfId="59" applyNumberFormat="1" applyFont="1" applyFill="1" applyAlignment="1" applyProtection="1">
      <alignment horizontal="right"/>
    </xf>
    <xf numFmtId="10" fontId="56" fillId="0" borderId="0" xfId="211" applyNumberFormat="1" applyFont="1" applyFill="1" applyAlignment="1" applyProtection="1">
      <alignment horizontal="left"/>
    </xf>
    <xf numFmtId="173" fontId="56" fillId="0" borderId="0" xfId="59" applyNumberFormat="1" applyFont="1" applyFill="1" applyAlignment="1" applyProtection="1">
      <alignment horizontal="right"/>
    </xf>
    <xf numFmtId="0" fontId="56" fillId="0" borderId="0" xfId="188" applyFont="1" applyFill="1" applyAlignment="1" applyProtection="1"/>
    <xf numFmtId="173" fontId="56" fillId="0" borderId="8" xfId="59" applyNumberFormat="1" applyFont="1" applyFill="1" applyBorder="1" applyAlignment="1" applyProtection="1">
      <alignment horizontal="right"/>
    </xf>
    <xf numFmtId="166" fontId="56" fillId="0" borderId="0" xfId="188" applyNumberFormat="1" applyFont="1" applyFill="1" applyAlignment="1" applyProtection="1"/>
    <xf numFmtId="167" fontId="56" fillId="0" borderId="0" xfId="211" applyNumberFormat="1" applyFont="1" applyFill="1" applyAlignment="1" applyProtection="1"/>
    <xf numFmtId="166" fontId="56" fillId="0" borderId="0" xfId="211" applyNumberFormat="1" applyFont="1" applyFill="1" applyAlignment="1" applyProtection="1"/>
    <xf numFmtId="166" fontId="56" fillId="0" borderId="0" xfId="188" applyNumberFormat="1" applyFont="1" applyFill="1" applyAlignment="1" applyProtection="1">
      <alignment horizontal="center"/>
    </xf>
    <xf numFmtId="173" fontId="56" fillId="0" borderId="14" xfId="59" applyNumberFormat="1" applyFont="1" applyFill="1" applyBorder="1" applyAlignment="1" applyProtection="1"/>
    <xf numFmtId="0" fontId="56" fillId="0" borderId="0" xfId="188" applyNumberFormat="1" applyFont="1" applyFill="1" applyAlignment="1" applyProtection="1"/>
    <xf numFmtId="172" fontId="56" fillId="0" borderId="0" xfId="211" applyFont="1" applyFill="1" applyAlignment="1" applyProtection="1">
      <alignment horizontal="center"/>
    </xf>
    <xf numFmtId="172" fontId="56" fillId="0" borderId="0" xfId="211" applyFont="1" applyFill="1" applyAlignment="1" applyProtection="1">
      <alignment horizontal="right"/>
    </xf>
    <xf numFmtId="0" fontId="86" fillId="0" borderId="0" xfId="211" applyNumberFormat="1" applyFont="1" applyFill="1" applyAlignment="1" applyProtection="1">
      <alignment horizontal="center"/>
    </xf>
    <xf numFmtId="3" fontId="86" fillId="0" borderId="0" xfId="211" applyNumberFormat="1" applyFont="1" applyFill="1" applyAlignment="1" applyProtection="1"/>
    <xf numFmtId="172" fontId="86" fillId="0" borderId="0" xfId="0" applyFont="1" applyFill="1" applyAlignment="1" applyProtection="1"/>
    <xf numFmtId="0" fontId="56" fillId="0" borderId="8" xfId="211" applyNumberFormat="1" applyFont="1" applyFill="1" applyBorder="1" applyProtection="1"/>
    <xf numFmtId="3" fontId="56" fillId="0" borderId="8" xfId="211" applyNumberFormat="1" applyFont="1" applyFill="1" applyBorder="1" applyAlignment="1" applyProtection="1"/>
    <xf numFmtId="3" fontId="56" fillId="0" borderId="8" xfId="211" applyNumberFormat="1" applyFont="1" applyFill="1" applyBorder="1" applyAlignment="1" applyProtection="1">
      <alignment horizontal="center"/>
    </xf>
    <xf numFmtId="170" fontId="56" fillId="0" borderId="0" xfId="266" applyNumberFormat="1" applyFont="1" applyFill="1" applyAlignment="1" applyProtection="1"/>
    <xf numFmtId="4" fontId="56" fillId="0" borderId="0" xfId="211" applyNumberFormat="1" applyFont="1" applyFill="1" applyAlignment="1" applyProtection="1"/>
    <xf numFmtId="3" fontId="56" fillId="0" borderId="0" xfId="188" applyNumberFormat="1" applyFont="1" applyFill="1" applyBorder="1" applyAlignment="1" applyProtection="1">
      <alignment horizontal="center"/>
    </xf>
    <xf numFmtId="0" fontId="56" fillId="0" borderId="8" xfId="188" applyNumberFormat="1" applyFont="1" applyFill="1" applyBorder="1" applyAlignment="1" applyProtection="1">
      <alignment horizontal="center"/>
    </xf>
    <xf numFmtId="0" fontId="56" fillId="0" borderId="0" xfId="188" applyNumberFormat="1" applyFont="1" applyFill="1" applyAlignment="1" applyProtection="1">
      <alignment horizontal="center"/>
    </xf>
    <xf numFmtId="10" fontId="56" fillId="0" borderId="8" xfId="266" applyNumberFormat="1" applyFont="1" applyFill="1" applyBorder="1" applyAlignment="1" applyProtection="1">
      <alignment horizontal="center"/>
    </xf>
    <xf numFmtId="168" fontId="56" fillId="0" borderId="0" xfId="211" applyNumberFormat="1" applyFont="1" applyFill="1" applyAlignment="1" applyProtection="1"/>
    <xf numFmtId="169" fontId="56" fillId="0" borderId="0" xfId="211" applyNumberFormat="1" applyFont="1" applyFill="1" applyAlignment="1" applyProtection="1">
      <alignment horizontal="right"/>
    </xf>
    <xf numFmtId="3" fontId="56" fillId="0" borderId="0" xfId="211" applyNumberFormat="1" applyFont="1" applyFill="1" applyAlignment="1" applyProtection="1">
      <alignment vertical="top" wrapText="1"/>
    </xf>
    <xf numFmtId="0" fontId="56" fillId="0" borderId="0" xfId="211" applyNumberFormat="1" applyFont="1" applyFill="1" applyAlignment="1" applyProtection="1">
      <alignment vertical="top" wrapText="1"/>
    </xf>
    <xf numFmtId="0" fontId="56" fillId="0" borderId="0" xfId="211" applyNumberFormat="1" applyFont="1" applyFill="1" applyAlignment="1" applyProtection="1">
      <alignment vertical="top"/>
    </xf>
    <xf numFmtId="10" fontId="56" fillId="0" borderId="0" xfId="266" applyNumberFormat="1" applyFont="1" applyFill="1" applyAlignment="1" applyProtection="1">
      <alignment vertical="top"/>
    </xf>
    <xf numFmtId="43" fontId="56" fillId="0" borderId="0" xfId="59" applyFont="1" applyFill="1" applyAlignment="1" applyProtection="1">
      <alignment vertical="top"/>
    </xf>
    <xf numFmtId="0" fontId="56" fillId="0" borderId="0" xfId="188" quotePrefix="1" applyNumberFormat="1" applyFont="1" applyFill="1" applyAlignment="1" applyProtection="1">
      <alignment vertical="top" wrapText="1"/>
    </xf>
    <xf numFmtId="0" fontId="56" fillId="0" borderId="0" xfId="188" applyNumberFormat="1" applyFont="1" applyFill="1" applyAlignment="1" applyProtection="1">
      <alignment vertical="top" wrapText="1"/>
    </xf>
    <xf numFmtId="0" fontId="56" fillId="0" borderId="0" xfId="188" applyNumberFormat="1" applyFont="1" applyFill="1" applyAlignment="1" applyProtection="1">
      <alignment vertical="top"/>
    </xf>
    <xf numFmtId="172" fontId="56" fillId="0" borderId="0" xfId="0" applyFont="1" applyFill="1" applyAlignment="1" applyProtection="1">
      <alignment vertical="top"/>
    </xf>
    <xf numFmtId="0" fontId="56" fillId="0" borderId="0" xfId="388" applyFont="1" applyFill="1" applyAlignment="1" applyProtection="1">
      <alignment vertical="center"/>
    </xf>
    <xf numFmtId="172" fontId="56" fillId="0" borderId="0" xfId="201" applyFont="1" applyFill="1" applyBorder="1" applyAlignment="1" applyProtection="1"/>
    <xf numFmtId="172" fontId="56" fillId="0" borderId="0" xfId="201" applyFont="1" applyFill="1" applyBorder="1" applyAlignment="1" applyProtection="1">
      <alignment horizontal="right"/>
    </xf>
    <xf numFmtId="0" fontId="56" fillId="0" borderId="0" xfId="201" applyNumberFormat="1" applyFont="1" applyFill="1" applyBorder="1" applyAlignment="1" applyProtection="1"/>
    <xf numFmtId="0" fontId="56" fillId="0" borderId="0" xfId="201" applyNumberFormat="1" applyFont="1" applyFill="1" applyBorder="1" applyAlignment="1" applyProtection="1">
      <alignment horizontal="center"/>
    </xf>
    <xf numFmtId="0" fontId="56" fillId="0" borderId="0" xfId="201" applyNumberFormat="1" applyFont="1" applyFill="1" applyBorder="1" applyProtection="1"/>
    <xf numFmtId="0" fontId="56" fillId="0" borderId="0" xfId="201" applyNumberFormat="1" applyFont="1" applyFill="1" applyAlignment="1" applyProtection="1">
      <alignment horizontal="right"/>
    </xf>
    <xf numFmtId="173" fontId="88" fillId="0" borderId="0" xfId="59" applyNumberFormat="1" applyFont="1" applyFill="1" applyBorder="1" applyProtection="1"/>
    <xf numFmtId="3" fontId="56" fillId="0" borderId="0" xfId="201" applyNumberFormat="1" applyFont="1" applyFill="1" applyBorder="1" applyAlignment="1" applyProtection="1"/>
    <xf numFmtId="0" fontId="88" fillId="0" borderId="0" xfId="201" applyNumberFormat="1" applyFont="1" applyFill="1" applyBorder="1" applyAlignment="1" applyProtection="1">
      <alignment horizontal="center"/>
    </xf>
    <xf numFmtId="0" fontId="88" fillId="0" borderId="0" xfId="201" applyNumberFormat="1" applyFont="1" applyFill="1" applyBorder="1" applyProtection="1"/>
    <xf numFmtId="49" fontId="56" fillId="0" borderId="0" xfId="201" applyNumberFormat="1" applyFont="1" applyFill="1" applyBorder="1" applyProtection="1"/>
    <xf numFmtId="3" fontId="56" fillId="0" borderId="0" xfId="201" applyNumberFormat="1" applyFont="1" applyFill="1" applyBorder="1" applyProtection="1"/>
    <xf numFmtId="49" fontId="56" fillId="0" borderId="0" xfId="201" applyNumberFormat="1" applyFont="1" applyFill="1" applyBorder="1" applyAlignment="1" applyProtection="1">
      <alignment horizontal="center"/>
    </xf>
    <xf numFmtId="3" fontId="63" fillId="0" borderId="0" xfId="201" applyNumberFormat="1" applyFont="1" applyFill="1" applyBorder="1" applyAlignment="1" applyProtection="1">
      <alignment horizontal="center"/>
    </xf>
    <xf numFmtId="173" fontId="56" fillId="0" borderId="0" xfId="59" applyNumberFormat="1" applyFont="1" applyFill="1" applyBorder="1" applyAlignment="1" applyProtection="1">
      <alignment horizontal="center"/>
    </xf>
    <xf numFmtId="172" fontId="63" fillId="0" borderId="0" xfId="201" applyFont="1" applyFill="1" applyBorder="1" applyAlignment="1" applyProtection="1">
      <alignment horizontal="center"/>
    </xf>
    <xf numFmtId="0" fontId="63" fillId="0" borderId="0" xfId="201" applyNumberFormat="1" applyFont="1" applyFill="1" applyBorder="1" applyAlignment="1" applyProtection="1">
      <alignment horizontal="center"/>
    </xf>
    <xf numFmtId="0" fontId="63" fillId="0" borderId="0" xfId="201" applyNumberFormat="1" applyFont="1" applyFill="1" applyBorder="1" applyAlignment="1" applyProtection="1"/>
    <xf numFmtId="0" fontId="89" fillId="0" borderId="0" xfId="201" applyNumberFormat="1" applyFont="1" applyFill="1" applyBorder="1" applyAlignment="1" applyProtection="1">
      <alignment horizontal="center"/>
    </xf>
    <xf numFmtId="3" fontId="56" fillId="0" borderId="0" xfId="201" applyNumberFormat="1" applyFont="1" applyFill="1" applyBorder="1" applyAlignment="1" applyProtection="1">
      <alignment horizontal="center"/>
    </xf>
    <xf numFmtId="3" fontId="56" fillId="0" borderId="0" xfId="201" applyNumberFormat="1" applyFont="1" applyFill="1" applyBorder="1" applyAlignment="1" applyProtection="1">
      <alignment horizontal="left"/>
    </xf>
    <xf numFmtId="43" fontId="56" fillId="0" borderId="0" xfId="59" applyNumberFormat="1" applyFont="1" applyFill="1" applyBorder="1" applyAlignment="1" applyProtection="1"/>
    <xf numFmtId="43" fontId="77" fillId="0" borderId="0" xfId="59" applyNumberFormat="1" applyFont="1" applyFill="1" applyBorder="1" applyAlignment="1" applyProtection="1"/>
    <xf numFmtId="10" fontId="77" fillId="0" borderId="0" xfId="266" applyNumberFormat="1" applyFont="1" applyFill="1" applyBorder="1" applyAlignment="1" applyProtection="1"/>
    <xf numFmtId="10" fontId="63" fillId="0" borderId="0" xfId="201" applyNumberFormat="1" applyFont="1" applyFill="1" applyBorder="1" applyAlignment="1" applyProtection="1"/>
    <xf numFmtId="3" fontId="63" fillId="0" borderId="0" xfId="201" applyNumberFormat="1" applyFont="1" applyFill="1" applyBorder="1" applyAlignment="1" applyProtection="1"/>
    <xf numFmtId="165" fontId="63" fillId="0" borderId="0" xfId="201" applyNumberFormat="1" applyFont="1" applyFill="1" applyBorder="1" applyAlignment="1" applyProtection="1"/>
    <xf numFmtId="10" fontId="56" fillId="0" borderId="0" xfId="201" applyNumberFormat="1" applyFont="1" applyFill="1" applyBorder="1" applyAlignment="1" applyProtection="1"/>
    <xf numFmtId="172" fontId="56" fillId="0" borderId="0" xfId="201" applyFont="1" applyFill="1" applyBorder="1" applyAlignment="1" applyProtection="1">
      <alignment horizontal="left"/>
    </xf>
    <xf numFmtId="172" fontId="56" fillId="0" borderId="0" xfId="201" applyFont="1" applyFill="1" applyBorder="1" applyAlignment="1" applyProtection="1">
      <alignment horizontal="center"/>
    </xf>
    <xf numFmtId="43" fontId="56" fillId="0" borderId="0" xfId="59" applyFont="1" applyFill="1" applyBorder="1" applyAlignment="1" applyProtection="1">
      <alignment horizontal="center"/>
    </xf>
    <xf numFmtId="49" fontId="63" fillId="0" borderId="0" xfId="201" applyNumberFormat="1" applyFont="1" applyFill="1" applyBorder="1" applyAlignment="1" applyProtection="1">
      <alignment horizontal="center"/>
    </xf>
    <xf numFmtId="172" fontId="63" fillId="0" borderId="0" xfId="201" applyFont="1" applyFill="1" applyBorder="1" applyAlignment="1" applyProtection="1"/>
    <xf numFmtId="3" fontId="63" fillId="0" borderId="0" xfId="201" applyNumberFormat="1" applyFont="1" applyFill="1" applyBorder="1" applyAlignment="1" applyProtection="1">
      <alignment horizontal="left"/>
    </xf>
    <xf numFmtId="43" fontId="63" fillId="0" borderId="0" xfId="59" applyNumberFormat="1" applyFont="1" applyFill="1" applyBorder="1" applyAlignment="1" applyProtection="1"/>
    <xf numFmtId="10" fontId="63" fillId="0" borderId="0" xfId="266" applyNumberFormat="1" applyFont="1" applyFill="1" applyBorder="1" applyAlignment="1" applyProtection="1"/>
    <xf numFmtId="0" fontId="56" fillId="0" borderId="0" xfId="201" applyNumberFormat="1" applyFont="1" applyFill="1" applyBorder="1" applyAlignment="1" applyProtection="1">
      <alignment horizontal="fill"/>
    </xf>
    <xf numFmtId="172" fontId="87" fillId="0" borderId="0" xfId="201" applyFont="1" applyFill="1" applyBorder="1" applyAlignment="1" applyProtection="1"/>
    <xf numFmtId="3" fontId="87" fillId="0" borderId="0" xfId="201" applyNumberFormat="1" applyFont="1" applyFill="1" applyBorder="1" applyAlignment="1" applyProtection="1"/>
    <xf numFmtId="164" fontId="56" fillId="0" borderId="0" xfId="201" applyNumberFormat="1" applyFont="1" applyFill="1" applyBorder="1" applyAlignment="1" applyProtection="1">
      <alignment horizontal="left"/>
    </xf>
    <xf numFmtId="164" fontId="56" fillId="0" borderId="0" xfId="201" applyNumberFormat="1" applyFont="1" applyFill="1" applyBorder="1" applyAlignment="1" applyProtection="1">
      <alignment horizontal="center"/>
    </xf>
    <xf numFmtId="169" fontId="56" fillId="0" borderId="0" xfId="201" applyNumberFormat="1" applyFont="1" applyFill="1" applyBorder="1" applyAlignment="1" applyProtection="1"/>
    <xf numFmtId="0" fontId="87" fillId="0" borderId="0" xfId="201" applyNumberFormat="1" applyFont="1" applyFill="1" applyBorder="1" applyProtection="1"/>
    <xf numFmtId="49" fontId="56" fillId="0" borderId="0" xfId="201" applyNumberFormat="1" applyFont="1" applyFill="1" applyBorder="1" applyAlignment="1" applyProtection="1">
      <alignment horizontal="left"/>
    </xf>
    <xf numFmtId="0" fontId="56" fillId="0" borderId="0" xfId="201" applyNumberFormat="1" applyFont="1" applyFill="1" applyBorder="1" applyAlignment="1" applyProtection="1">
      <alignment horizontal="right"/>
    </xf>
    <xf numFmtId="175" fontId="63" fillId="0" borderId="0" xfId="201" applyNumberFormat="1" applyFont="1" applyFill="1" applyBorder="1" applyAlignment="1" applyProtection="1">
      <alignment horizontal="center"/>
    </xf>
    <xf numFmtId="175" fontId="63" fillId="0" borderId="0" xfId="201" quotePrefix="1" applyNumberFormat="1" applyFont="1" applyFill="1" applyBorder="1" applyAlignment="1" applyProtection="1">
      <alignment horizontal="center"/>
    </xf>
    <xf numFmtId="172" fontId="63" fillId="0" borderId="16" xfId="201" applyFont="1" applyFill="1" applyBorder="1" applyAlignment="1" applyProtection="1">
      <alignment horizontal="center" wrapText="1"/>
    </xf>
    <xf numFmtId="172" fontId="63" fillId="0" borderId="7" xfId="201" applyFont="1" applyFill="1" applyBorder="1" applyAlignment="1" applyProtection="1"/>
    <xf numFmtId="172" fontId="63" fillId="0" borderId="3" xfId="201" applyFont="1" applyFill="1" applyBorder="1" applyAlignment="1" applyProtection="1"/>
    <xf numFmtId="172" fontId="63" fillId="0" borderId="7" xfId="201" applyFont="1" applyFill="1" applyBorder="1" applyAlignment="1" applyProtection="1">
      <alignment horizontal="center" wrapText="1"/>
    </xf>
    <xf numFmtId="0" fontId="63" fillId="0" borderId="7" xfId="201" applyNumberFormat="1" applyFont="1" applyFill="1" applyBorder="1" applyAlignment="1" applyProtection="1">
      <alignment horizontal="center" wrapText="1"/>
    </xf>
    <xf numFmtId="172" fontId="63" fillId="0" borderId="9" xfId="201" applyFont="1" applyFill="1" applyBorder="1" applyAlignment="1" applyProtection="1">
      <alignment horizontal="center" wrapText="1"/>
    </xf>
    <xf numFmtId="3" fontId="63" fillId="0" borderId="9" xfId="201" applyNumberFormat="1" applyFont="1" applyFill="1" applyBorder="1" applyAlignment="1" applyProtection="1">
      <alignment horizontal="center" wrapText="1"/>
    </xf>
    <xf numFmtId="0" fontId="56" fillId="0" borderId="16" xfId="201" applyNumberFormat="1" applyFont="1" applyFill="1" applyBorder="1" applyProtection="1"/>
    <xf numFmtId="0" fontId="56" fillId="0" borderId="7" xfId="201" applyNumberFormat="1" applyFont="1" applyFill="1" applyBorder="1" applyProtection="1"/>
    <xf numFmtId="0" fontId="56" fillId="0" borderId="7" xfId="201" applyNumberFormat="1" applyFont="1" applyFill="1" applyBorder="1" applyAlignment="1" applyProtection="1">
      <alignment horizontal="center"/>
    </xf>
    <xf numFmtId="0" fontId="56" fillId="0" borderId="9" xfId="201" applyNumberFormat="1" applyFont="1" applyFill="1" applyBorder="1" applyAlignment="1" applyProtection="1">
      <alignment horizontal="center"/>
    </xf>
    <xf numFmtId="0" fontId="56" fillId="0" borderId="9" xfId="201" applyNumberFormat="1" applyFont="1" applyFill="1" applyBorder="1" applyAlignment="1" applyProtection="1">
      <alignment horizontal="center" wrapText="1"/>
    </xf>
    <xf numFmtId="3" fontId="56" fillId="0" borderId="9" xfId="201" applyNumberFormat="1" applyFont="1" applyFill="1" applyBorder="1" applyAlignment="1" applyProtection="1">
      <alignment horizontal="center" wrapText="1"/>
    </xf>
    <xf numFmtId="0" fontId="56" fillId="0" borderId="7" xfId="201" applyNumberFormat="1" applyFont="1" applyFill="1" applyBorder="1" applyAlignment="1" applyProtection="1">
      <alignment horizontal="center" wrapText="1"/>
    </xf>
    <xf numFmtId="3" fontId="56" fillId="0" borderId="9" xfId="201" applyNumberFormat="1" applyFont="1" applyFill="1" applyBorder="1" applyAlignment="1" applyProtection="1">
      <alignment horizontal="center"/>
    </xf>
    <xf numFmtId="0" fontId="56" fillId="0" borderId="10" xfId="201" applyNumberFormat="1" applyFont="1" applyFill="1" applyBorder="1" applyProtection="1"/>
    <xf numFmtId="0" fontId="56" fillId="0" borderId="11" xfId="201" applyNumberFormat="1" applyFont="1" applyFill="1" applyBorder="1" applyProtection="1"/>
    <xf numFmtId="0" fontId="56" fillId="0" borderId="19" xfId="201" applyNumberFormat="1" applyFont="1" applyFill="1" applyBorder="1" applyProtection="1"/>
    <xf numFmtId="0" fontId="56" fillId="0" borderId="22" xfId="201" applyNumberFormat="1" applyFont="1" applyFill="1" applyBorder="1" applyProtection="1"/>
    <xf numFmtId="3" fontId="56" fillId="0" borderId="11" xfId="201" applyNumberFormat="1" applyFont="1" applyFill="1" applyBorder="1" applyAlignment="1" applyProtection="1"/>
    <xf numFmtId="172" fontId="56" fillId="0" borderId="10" xfId="209" applyFont="1" applyFill="1" applyBorder="1" applyAlignment="1" applyProtection="1"/>
    <xf numFmtId="172" fontId="56" fillId="0" borderId="0" xfId="209" applyFont="1" applyFill="1" applyBorder="1" applyAlignment="1" applyProtection="1"/>
    <xf numFmtId="0" fontId="56" fillId="0" borderId="0" xfId="59" applyNumberFormat="1" applyFont="1" applyFill="1" applyBorder="1" applyAlignment="1" applyProtection="1"/>
    <xf numFmtId="174" fontId="56" fillId="0" borderId="0" xfId="93" applyNumberFormat="1" applyFont="1" applyFill="1" applyBorder="1" applyAlignment="1" applyProtection="1"/>
    <xf numFmtId="173" fontId="56" fillId="0" borderId="11" xfId="59" applyNumberFormat="1" applyFont="1" applyFill="1" applyBorder="1" applyAlignment="1" applyProtection="1"/>
    <xf numFmtId="173" fontId="56" fillId="0" borderId="10" xfId="59" applyNumberFormat="1" applyFont="1" applyFill="1" applyBorder="1" applyAlignment="1" applyProtection="1"/>
    <xf numFmtId="173" fontId="56" fillId="16" borderId="11" xfId="59" applyNumberFormat="1" applyFont="1" applyFill="1" applyBorder="1" applyAlignment="1" applyProtection="1"/>
    <xf numFmtId="172" fontId="56" fillId="0" borderId="10" xfId="201" applyFont="1" applyFill="1" applyBorder="1" applyAlignment="1" applyProtection="1"/>
    <xf numFmtId="172" fontId="56" fillId="0" borderId="17" xfId="201" applyFont="1" applyFill="1" applyBorder="1" applyAlignment="1" applyProtection="1"/>
    <xf numFmtId="172" fontId="56" fillId="0" borderId="1" xfId="201" applyFont="1" applyFill="1" applyBorder="1" applyAlignment="1" applyProtection="1"/>
    <xf numFmtId="172" fontId="56" fillId="0" borderId="15" xfId="201" applyFont="1" applyFill="1" applyBorder="1" applyAlignment="1" applyProtection="1"/>
    <xf numFmtId="173" fontId="56" fillId="0" borderId="15" xfId="59" applyNumberFormat="1" applyFont="1" applyFill="1" applyBorder="1" applyAlignment="1" applyProtection="1"/>
    <xf numFmtId="173" fontId="85" fillId="0" borderId="15" xfId="59" applyNumberFormat="1" applyFont="1" applyFill="1" applyBorder="1" applyAlignment="1" applyProtection="1"/>
    <xf numFmtId="1" fontId="56" fillId="0" borderId="0" xfId="59" applyNumberFormat="1" applyFont="1" applyFill="1" applyBorder="1" applyAlignment="1" applyProtection="1">
      <alignment horizontal="center"/>
    </xf>
    <xf numFmtId="172" fontId="56" fillId="0" borderId="8" xfId="201" applyFont="1" applyFill="1" applyBorder="1" applyAlignment="1" applyProtection="1"/>
    <xf numFmtId="172" fontId="56" fillId="0" borderId="0" xfId="201" applyFont="1" applyFill="1" applyBorder="1" applyAlignment="1" applyProtection="1">
      <alignment horizontal="center" vertical="top"/>
    </xf>
    <xf numFmtId="172" fontId="102" fillId="0" borderId="0" xfId="201" applyFont="1" applyFill="1" applyBorder="1" applyAlignment="1" applyProtection="1"/>
    <xf numFmtId="173" fontId="46" fillId="0" borderId="0" xfId="59" applyNumberFormat="1" applyFont="1" applyAlignment="1" applyProtection="1"/>
    <xf numFmtId="0" fontId="46" fillId="0" borderId="0" xfId="201" applyNumberFormat="1" applyFont="1" applyFill="1" applyBorder="1" applyAlignment="1" applyProtection="1"/>
    <xf numFmtId="0" fontId="46" fillId="0" borderId="0" xfId="201" applyNumberFormat="1" applyFont="1" applyFill="1" applyBorder="1" applyAlignment="1" applyProtection="1">
      <alignment horizontal="center"/>
    </xf>
    <xf numFmtId="0" fontId="46" fillId="0" borderId="0" xfId="201" applyNumberFormat="1" applyFont="1" applyFill="1" applyAlignment="1" applyProtection="1">
      <alignment horizontal="right"/>
    </xf>
    <xf numFmtId="3" fontId="46" fillId="0" borderId="0" xfId="201" applyNumberFormat="1" applyFont="1" applyFill="1" applyBorder="1" applyAlignment="1" applyProtection="1"/>
    <xf numFmtId="0" fontId="46" fillId="0" borderId="0" xfId="201" applyNumberFormat="1" applyFont="1" applyFill="1" applyBorder="1" applyProtection="1"/>
    <xf numFmtId="172" fontId="46" fillId="0" borderId="0" xfId="201" applyFont="1" applyFill="1" applyBorder="1" applyAlignment="1" applyProtection="1"/>
    <xf numFmtId="173" fontId="46" fillId="0" borderId="0" xfId="59" applyNumberFormat="1" applyFont="1" applyFill="1" applyAlignment="1" applyProtection="1"/>
    <xf numFmtId="0" fontId="46" fillId="0" borderId="0" xfId="211" applyNumberFormat="1" applyFont="1" applyFill="1" applyAlignment="1" applyProtection="1">
      <alignment horizontal="center"/>
    </xf>
    <xf numFmtId="169" fontId="46" fillId="0" borderId="0" xfId="0" applyNumberFormat="1" applyFont="1" applyAlignment="1" applyProtection="1"/>
    <xf numFmtId="173" fontId="46" fillId="0" borderId="0" xfId="59" applyNumberFormat="1" applyFont="1" applyAlignment="1" applyProtection="1">
      <alignment horizontal="center"/>
    </xf>
    <xf numFmtId="0" fontId="46" fillId="0" borderId="0" xfId="211" applyNumberFormat="1" applyFont="1" applyAlignment="1" applyProtection="1"/>
    <xf numFmtId="3" fontId="46" fillId="0" borderId="0" xfId="211" applyNumberFormat="1" applyFont="1" applyAlignment="1" applyProtection="1"/>
    <xf numFmtId="3" fontId="46" fillId="0" borderId="8" xfId="211" applyNumberFormat="1" applyFont="1" applyBorder="1" applyAlignment="1" applyProtection="1">
      <alignment horizontal="center"/>
    </xf>
    <xf numFmtId="3" fontId="46" fillId="0" borderId="0" xfId="211" applyNumberFormat="1" applyFont="1" applyAlignment="1" applyProtection="1">
      <alignment horizontal="center"/>
    </xf>
    <xf numFmtId="0" fontId="46" fillId="0" borderId="8" xfId="211" applyNumberFormat="1" applyFont="1" applyBorder="1" applyAlignment="1" applyProtection="1">
      <alignment horizontal="center"/>
    </xf>
    <xf numFmtId="172" fontId="46" fillId="0" borderId="0" xfId="211" applyFont="1" applyFill="1" applyAlignment="1" applyProtection="1"/>
    <xf numFmtId="173" fontId="46" fillId="0" borderId="0" xfId="59" applyNumberFormat="1" applyFont="1" applyFill="1" applyAlignment="1" applyProtection="1">
      <alignment horizontal="center"/>
    </xf>
    <xf numFmtId="170" fontId="46" fillId="0" borderId="0" xfId="266" applyNumberFormat="1" applyFont="1" applyFill="1" applyAlignment="1" applyProtection="1">
      <alignment horizontal="center"/>
    </xf>
    <xf numFmtId="43" fontId="46" fillId="0" borderId="0" xfId="59" applyFont="1" applyAlignment="1" applyProtection="1"/>
    <xf numFmtId="10" fontId="46" fillId="0" borderId="0" xfId="266" applyNumberFormat="1" applyFont="1" applyFill="1" applyAlignment="1" applyProtection="1">
      <alignment horizontal="center"/>
    </xf>
    <xf numFmtId="170" fontId="46" fillId="0" borderId="0" xfId="266" applyNumberFormat="1" applyFont="1" applyAlignment="1" applyProtection="1"/>
    <xf numFmtId="172" fontId="46" fillId="0" borderId="0" xfId="211" applyFont="1" applyFill="1" applyAlignment="1" applyProtection="1">
      <alignment wrapText="1"/>
    </xf>
    <xf numFmtId="170" fontId="46" fillId="0" borderId="8" xfId="266" applyNumberFormat="1" applyFont="1" applyBorder="1" applyAlignment="1" applyProtection="1"/>
    <xf numFmtId="172" fontId="46" fillId="0" borderId="0" xfId="211" applyFont="1" applyAlignment="1" applyProtection="1"/>
    <xf numFmtId="43" fontId="46" fillId="0" borderId="0" xfId="59" applyFont="1" applyFill="1" applyAlignment="1" applyProtection="1">
      <alignment horizontal="center"/>
    </xf>
    <xf numFmtId="3" fontId="46" fillId="0" borderId="0" xfId="211" applyNumberFormat="1" applyFont="1" applyFill="1" applyAlignment="1" applyProtection="1"/>
    <xf numFmtId="166" fontId="46" fillId="0" borderId="0" xfId="211" applyNumberFormat="1" applyFont="1" applyAlignment="1" applyProtection="1">
      <alignment horizontal="center"/>
    </xf>
    <xf numFmtId="164" fontId="46" fillId="0" borderId="0" xfId="211" applyNumberFormat="1" applyFont="1" applyAlignment="1" applyProtection="1">
      <alignment horizontal="left"/>
    </xf>
    <xf numFmtId="274" fontId="46" fillId="0" borderId="0" xfId="266" applyNumberFormat="1" applyFont="1" applyFill="1" applyAlignment="1" applyProtection="1">
      <alignment horizontal="right"/>
    </xf>
    <xf numFmtId="182" fontId="46" fillId="0" borderId="0" xfId="59" applyNumberFormat="1" applyFont="1" applyFill="1" applyAlignment="1" applyProtection="1">
      <alignment horizontal="right"/>
    </xf>
    <xf numFmtId="0" fontId="46" fillId="0" borderId="0" xfId="211" applyNumberFormat="1" applyFont="1" applyFill="1" applyAlignment="1" applyProtection="1"/>
    <xf numFmtId="164" fontId="46" fillId="0" borderId="0" xfId="211" applyNumberFormat="1" applyFont="1" applyFill="1" applyAlignment="1" applyProtection="1">
      <alignment horizontal="left"/>
    </xf>
    <xf numFmtId="173" fontId="46" fillId="0" borderId="0" xfId="59" applyNumberFormat="1" applyFont="1" applyFill="1" applyAlignment="1" applyProtection="1">
      <alignment horizontal="right"/>
    </xf>
    <xf numFmtId="173" fontId="46" fillId="0" borderId="0" xfId="59" applyNumberFormat="1" applyFont="1" applyBorder="1" applyAlignment="1" applyProtection="1"/>
    <xf numFmtId="10" fontId="46" fillId="0" borderId="0" xfId="211" applyNumberFormat="1" applyFont="1" applyFill="1" applyAlignment="1" applyProtection="1">
      <alignment horizontal="left"/>
    </xf>
    <xf numFmtId="173" fontId="46" fillId="0" borderId="0" xfId="59" applyNumberFormat="1" applyFont="1" applyAlignment="1" applyProtection="1">
      <alignment horizontal="right"/>
    </xf>
    <xf numFmtId="3" fontId="46" fillId="0" borderId="0" xfId="188" applyNumberFormat="1" applyFont="1" applyAlignment="1" applyProtection="1"/>
    <xf numFmtId="166" fontId="46" fillId="0" borderId="0" xfId="188" applyNumberFormat="1" applyFont="1" applyAlignment="1" applyProtection="1"/>
    <xf numFmtId="0" fontId="46" fillId="0" borderId="0" xfId="188" applyFont="1" applyAlignment="1" applyProtection="1"/>
    <xf numFmtId="173" fontId="46" fillId="0" borderId="1" xfId="59" applyNumberFormat="1" applyFont="1" applyBorder="1" applyAlignment="1" applyProtection="1">
      <alignment horizontal="right"/>
    </xf>
    <xf numFmtId="173" fontId="46" fillId="0" borderId="0" xfId="0" applyNumberFormat="1" applyFont="1" applyAlignment="1" applyProtection="1"/>
    <xf numFmtId="173" fontId="46" fillId="0" borderId="1" xfId="59" applyNumberFormat="1" applyFont="1" applyBorder="1" applyAlignment="1" applyProtection="1"/>
    <xf numFmtId="173" fontId="46" fillId="0" borderId="0" xfId="59" applyNumberFormat="1" applyFont="1" applyAlignment="1" applyProtection="1">
      <alignment horizontal="left" indent="2"/>
    </xf>
    <xf numFmtId="182" fontId="46" fillId="0" borderId="0" xfId="59" applyNumberFormat="1" applyFont="1" applyAlignment="1" applyProtection="1"/>
    <xf numFmtId="173" fontId="46" fillId="0" borderId="8" xfId="59" applyNumberFormat="1" applyFont="1" applyBorder="1" applyAlignment="1" applyProtection="1"/>
    <xf numFmtId="0" fontId="56" fillId="0" borderId="0" xfId="59" applyNumberFormat="1" applyFont="1" applyFill="1" applyBorder="1" applyAlignment="1" applyProtection="1">
      <alignment horizontal="center"/>
    </xf>
    <xf numFmtId="0" fontId="56" fillId="0" borderId="0" xfId="208" applyNumberFormat="1" applyFont="1" applyFill="1" applyBorder="1" applyAlignment="1" applyProtection="1">
      <alignment horizontal="center"/>
    </xf>
    <xf numFmtId="0" fontId="56" fillId="0" borderId="0" xfId="59" applyNumberFormat="1" applyFont="1" applyFill="1" applyAlignment="1" applyProtection="1">
      <alignment horizontal="center"/>
    </xf>
    <xf numFmtId="172" fontId="56" fillId="0" borderId="0" xfId="0" applyFont="1" applyFill="1" applyAlignment="1" applyProtection="1">
      <alignment horizontal="center"/>
    </xf>
    <xf numFmtId="172" fontId="56" fillId="0" borderId="19" xfId="0" applyFont="1" applyFill="1" applyBorder="1" applyProtection="1"/>
    <xf numFmtId="172" fontId="56" fillId="0" borderId="22" xfId="0" applyFont="1" applyFill="1" applyBorder="1" applyAlignment="1" applyProtection="1">
      <alignment horizontal="center"/>
    </xf>
    <xf numFmtId="172" fontId="56" fillId="0" borderId="3" xfId="0" applyFont="1" applyFill="1" applyBorder="1" applyProtection="1"/>
    <xf numFmtId="172" fontId="56" fillId="0" borderId="20" xfId="0" applyFont="1" applyFill="1" applyBorder="1" applyProtection="1"/>
    <xf numFmtId="172" fontId="56" fillId="0" borderId="17" xfId="0" applyFont="1" applyFill="1" applyBorder="1" applyAlignment="1" applyProtection="1">
      <alignment horizontal="center"/>
    </xf>
    <xf numFmtId="172" fontId="56" fillId="0" borderId="15" xfId="0" applyFont="1" applyFill="1" applyBorder="1" applyAlignment="1" applyProtection="1">
      <alignment horizontal="center"/>
    </xf>
    <xf numFmtId="172" fontId="56" fillId="0" borderId="17" xfId="0" applyFont="1" applyFill="1" applyBorder="1" applyAlignment="1" applyProtection="1"/>
    <xf numFmtId="172" fontId="56" fillId="0" borderId="1" xfId="0" applyFont="1" applyFill="1" applyBorder="1" applyAlignment="1" applyProtection="1"/>
    <xf numFmtId="172" fontId="56" fillId="0" borderId="21" xfId="0" applyFont="1" applyFill="1" applyBorder="1" applyAlignment="1" applyProtection="1"/>
    <xf numFmtId="172" fontId="56" fillId="0" borderId="22" xfId="0" applyFont="1" applyFill="1" applyBorder="1" applyProtection="1"/>
    <xf numFmtId="174" fontId="56" fillId="0" borderId="10" xfId="93" applyNumberFormat="1" applyFont="1" applyFill="1" applyBorder="1" applyProtection="1"/>
    <xf numFmtId="172" fontId="56" fillId="0" borderId="11" xfId="0" applyFont="1" applyFill="1" applyBorder="1" applyProtection="1"/>
    <xf numFmtId="172" fontId="56" fillId="0" borderId="9" xfId="0" applyFont="1" applyFill="1" applyBorder="1" applyAlignment="1" applyProtection="1">
      <alignment horizontal="center"/>
    </xf>
    <xf numFmtId="172" fontId="56" fillId="0" borderId="11" xfId="0" applyFont="1" applyFill="1" applyBorder="1" applyAlignment="1" applyProtection="1">
      <alignment horizontal="center"/>
    </xf>
    <xf numFmtId="172" fontId="56" fillId="0" borderId="10" xfId="0" applyFont="1" applyFill="1" applyBorder="1" applyAlignment="1" applyProtection="1">
      <alignment horizontal="center"/>
    </xf>
    <xf numFmtId="172" fontId="56" fillId="0" borderId="19" xfId="0" applyFont="1" applyFill="1" applyBorder="1" applyAlignment="1" applyProtection="1">
      <alignment horizontal="center"/>
    </xf>
    <xf numFmtId="172" fontId="56" fillId="0" borderId="15" xfId="201" applyFont="1" applyFill="1" applyBorder="1" applyAlignment="1" applyProtection="1">
      <alignment horizontal="center"/>
    </xf>
    <xf numFmtId="173" fontId="56" fillId="0" borderId="11" xfId="59" applyNumberFormat="1" applyFont="1" applyFill="1" applyBorder="1" applyAlignment="1" applyProtection="1">
      <alignment horizontal="center"/>
    </xf>
    <xf numFmtId="43" fontId="56" fillId="0" borderId="11" xfId="59" applyFont="1" applyFill="1" applyBorder="1" applyAlignment="1" applyProtection="1">
      <alignment horizontal="center"/>
    </xf>
    <xf numFmtId="172" fontId="56" fillId="0" borderId="15" xfId="0" applyFont="1" applyFill="1" applyBorder="1" applyProtection="1"/>
    <xf numFmtId="173" fontId="56" fillId="0" borderId="17" xfId="93" applyNumberFormat="1" applyFont="1" applyFill="1" applyBorder="1" applyProtection="1"/>
    <xf numFmtId="10" fontId="56" fillId="0" borderId="15" xfId="266" applyNumberFormat="1" applyFont="1" applyFill="1" applyBorder="1" applyProtection="1"/>
    <xf numFmtId="174" fontId="56" fillId="0" borderId="15" xfId="93" applyNumberFormat="1" applyFont="1" applyFill="1" applyBorder="1" applyProtection="1"/>
    <xf numFmtId="172" fontId="56" fillId="0" borderId="21" xfId="0" applyFont="1" applyFill="1" applyBorder="1" applyProtection="1"/>
    <xf numFmtId="43" fontId="56" fillId="0" borderId="0" xfId="59" applyFont="1" applyFill="1" applyProtection="1"/>
    <xf numFmtId="172" fontId="75" fillId="0" borderId="0" xfId="0" applyFont="1" applyFill="1" applyProtection="1"/>
    <xf numFmtId="172" fontId="56" fillId="0" borderId="0" xfId="201" applyFont="1" applyFill="1" applyAlignment="1" applyProtection="1"/>
    <xf numFmtId="0" fontId="63" fillId="0" borderId="0" xfId="59" applyNumberFormat="1" applyFont="1" applyFill="1" applyBorder="1" applyAlignment="1" applyProtection="1">
      <alignment horizontal="left"/>
    </xf>
    <xf numFmtId="172" fontId="56" fillId="0" borderId="1" xfId="201" applyFont="1" applyFill="1" applyBorder="1" applyAlignment="1" applyProtection="1">
      <alignment horizontal="center"/>
    </xf>
    <xf numFmtId="172" fontId="56" fillId="0" borderId="0" xfId="201" applyFont="1" applyFill="1" applyAlignment="1" applyProtection="1">
      <alignment horizontal="center"/>
    </xf>
    <xf numFmtId="172" fontId="56" fillId="0" borderId="19" xfId="201" applyFont="1" applyFill="1" applyBorder="1" applyAlignment="1" applyProtection="1">
      <alignment horizontal="center"/>
    </xf>
    <xf numFmtId="172" fontId="56" fillId="0" borderId="22" xfId="201" applyFont="1" applyFill="1" applyBorder="1" applyAlignment="1" applyProtection="1">
      <alignment horizontal="center"/>
    </xf>
    <xf numFmtId="172" fontId="56" fillId="0" borderId="10" xfId="201" applyFont="1" applyFill="1" applyBorder="1" applyAlignment="1" applyProtection="1">
      <alignment horizontal="center"/>
    </xf>
    <xf numFmtId="172" fontId="56" fillId="0" borderId="11" xfId="201" applyFont="1" applyFill="1" applyBorder="1" applyAlignment="1" applyProtection="1">
      <alignment horizontal="center"/>
    </xf>
    <xf numFmtId="172" fontId="56" fillId="0" borderId="17" xfId="201" applyFont="1" applyFill="1" applyBorder="1" applyAlignment="1" applyProtection="1">
      <alignment horizontal="center"/>
    </xf>
    <xf numFmtId="0" fontId="56" fillId="0" borderId="8" xfId="59" applyNumberFormat="1" applyFont="1" applyFill="1" applyBorder="1" applyAlignment="1" applyProtection="1">
      <alignment horizontal="center"/>
    </xf>
    <xf numFmtId="0" fontId="56" fillId="0" borderId="0" xfId="210" applyFont="1" applyFill="1" applyProtection="1"/>
    <xf numFmtId="0" fontId="56" fillId="0" borderId="0" xfId="0" applyNumberFormat="1" applyFont="1" applyFill="1" applyAlignment="1" applyProtection="1">
      <alignment horizontal="center" vertical="top"/>
    </xf>
    <xf numFmtId="173" fontId="56" fillId="0" borderId="11" xfId="59" applyNumberFormat="1" applyFont="1" applyFill="1" applyBorder="1" applyAlignment="1" applyProtection="1">
      <alignment horizontal="center"/>
      <protection locked="0"/>
    </xf>
    <xf numFmtId="43" fontId="56" fillId="0" borderId="11" xfId="59" applyFont="1" applyFill="1" applyBorder="1" applyProtection="1">
      <protection locked="0"/>
    </xf>
    <xf numFmtId="0" fontId="86" fillId="0" borderId="0" xfId="0" applyNumberFormat="1" applyFont="1" applyFill="1" applyAlignment="1" applyProtection="1">
      <alignment horizontal="center"/>
    </xf>
    <xf numFmtId="0" fontId="56" fillId="0" borderId="0" xfId="212" applyFont="1" applyFill="1" applyProtection="1"/>
    <xf numFmtId="0" fontId="56" fillId="0" borderId="0" xfId="212" applyFont="1" applyFill="1" applyAlignment="1" applyProtection="1">
      <alignment horizontal="right"/>
    </xf>
    <xf numFmtId="0" fontId="56" fillId="0" borderId="0" xfId="0" applyNumberFormat="1" applyFont="1" applyFill="1" applyAlignment="1" applyProtection="1">
      <alignment horizontal="center"/>
    </xf>
    <xf numFmtId="0" fontId="56" fillId="0" borderId="0" xfId="212" applyFont="1" applyFill="1" applyAlignment="1" applyProtection="1">
      <alignment horizontal="center"/>
    </xf>
    <xf numFmtId="172" fontId="56" fillId="0" borderId="0" xfId="0" applyFont="1" applyFill="1" applyAlignment="1" applyProtection="1">
      <alignment horizontal="right"/>
    </xf>
    <xf numFmtId="0" fontId="63" fillId="0" borderId="0" xfId="212" applyFont="1" applyFill="1" applyAlignment="1" applyProtection="1">
      <alignment horizontal="centerContinuous"/>
    </xf>
    <xf numFmtId="0" fontId="63" fillId="0" borderId="0" xfId="212" applyFont="1" applyFill="1" applyAlignment="1" applyProtection="1">
      <alignment horizontal="center"/>
    </xf>
    <xf numFmtId="0" fontId="56" fillId="0" borderId="0" xfId="0" applyNumberFormat="1" applyFont="1" applyFill="1" applyAlignment="1" applyProtection="1">
      <alignment horizontal="center" wrapText="1"/>
    </xf>
    <xf numFmtId="0" fontId="63" fillId="0" borderId="0" xfId="212" applyFont="1" applyFill="1" applyAlignment="1" applyProtection="1">
      <alignment horizontal="center" wrapText="1"/>
    </xf>
    <xf numFmtId="172" fontId="63" fillId="0" borderId="0" xfId="0" applyFont="1" applyFill="1" applyAlignment="1" applyProtection="1">
      <alignment horizontal="center" wrapText="1"/>
    </xf>
    <xf numFmtId="172" fontId="56" fillId="0" borderId="0" xfId="0" applyFont="1" applyFill="1" applyAlignment="1" applyProtection="1">
      <alignment wrapText="1"/>
    </xf>
    <xf numFmtId="0" fontId="63" fillId="0" borderId="0" xfId="206" applyFont="1" applyFill="1" applyBorder="1" applyAlignment="1" applyProtection="1">
      <alignment horizontal="center" wrapText="1"/>
    </xf>
    <xf numFmtId="0" fontId="56" fillId="0" borderId="0" xfId="192" applyFont="1" applyFill="1" applyAlignment="1" applyProtection="1">
      <alignment horizontal="left" wrapText="1"/>
    </xf>
    <xf numFmtId="37" fontId="56" fillId="0" borderId="0" xfId="59" applyNumberFormat="1" applyFont="1" applyFill="1" applyAlignment="1" applyProtection="1">
      <alignment horizontal="center"/>
    </xf>
    <xf numFmtId="37" fontId="56" fillId="0" borderId="0" xfId="59" applyNumberFormat="1" applyFont="1" applyFill="1" applyAlignment="1" applyProtection="1">
      <alignment horizontal="center" wrapText="1"/>
    </xf>
    <xf numFmtId="37" fontId="56" fillId="0" borderId="0" xfId="59" applyNumberFormat="1" applyFont="1" applyFill="1" applyBorder="1" applyAlignment="1" applyProtection="1">
      <alignment horizontal="center" wrapText="1"/>
    </xf>
    <xf numFmtId="3" fontId="56" fillId="0" borderId="0" xfId="188" applyNumberFormat="1" applyFont="1" applyFill="1" applyAlignment="1" applyProtection="1">
      <alignment horizontal="left" wrapText="1"/>
    </xf>
    <xf numFmtId="3" fontId="56" fillId="0" borderId="0" xfId="188" applyNumberFormat="1" applyFont="1" applyFill="1" applyAlignment="1" applyProtection="1">
      <alignment wrapText="1"/>
    </xf>
    <xf numFmtId="3" fontId="56" fillId="0" borderId="0" xfId="188" applyNumberFormat="1" applyFont="1" applyFill="1" applyAlignment="1" applyProtection="1">
      <alignment horizontal="center" wrapText="1"/>
    </xf>
    <xf numFmtId="0" fontId="56" fillId="0" borderId="0" xfId="212" quotePrefix="1" applyFont="1" applyFill="1" applyAlignment="1" applyProtection="1">
      <alignment horizontal="left"/>
    </xf>
    <xf numFmtId="173" fontId="56" fillId="0" borderId="14" xfId="59" applyNumberFormat="1" applyFont="1" applyFill="1" applyBorder="1" applyProtection="1"/>
    <xf numFmtId="37" fontId="56" fillId="0" borderId="0" xfId="212" applyNumberFormat="1" applyFont="1" applyFill="1" applyProtection="1"/>
    <xf numFmtId="172" fontId="56" fillId="0" borderId="0" xfId="207" applyFont="1" applyFill="1" applyAlignment="1" applyProtection="1"/>
    <xf numFmtId="0" fontId="63" fillId="0" borderId="0" xfId="212" applyFont="1" applyFill="1" applyAlignment="1" applyProtection="1">
      <alignment horizontal="centerContinuous" wrapText="1"/>
    </xf>
    <xf numFmtId="0" fontId="56" fillId="0" borderId="0" xfId="206" applyFont="1" applyFill="1" applyBorder="1" applyAlignment="1" applyProtection="1">
      <alignment horizontal="center" wrapText="1"/>
    </xf>
    <xf numFmtId="41" fontId="100" fillId="16" borderId="0" xfId="212" applyNumberFormat="1" applyFont="1" applyFill="1" applyProtection="1"/>
    <xf numFmtId="0" fontId="56" fillId="0" borderId="0" xfId="212" applyFont="1" applyFill="1" applyAlignment="1" applyProtection="1">
      <alignment horizontal="left"/>
    </xf>
    <xf numFmtId="43" fontId="56" fillId="0" borderId="14" xfId="59" applyFont="1" applyFill="1" applyBorder="1" applyProtection="1"/>
    <xf numFmtId="44" fontId="56" fillId="0" borderId="0" xfId="0" applyNumberFormat="1" applyFont="1" applyFill="1" applyBorder="1" applyAlignment="1" applyProtection="1"/>
    <xf numFmtId="0" fontId="56" fillId="0" borderId="0" xfId="187" applyFont="1" applyFill="1" applyBorder="1" applyAlignment="1" applyProtection="1"/>
    <xf numFmtId="0" fontId="56" fillId="0" borderId="0" xfId="187" applyFont="1" applyFill="1" applyBorder="1" applyAlignment="1" applyProtection="1">
      <alignment horizontal="center"/>
    </xf>
    <xf numFmtId="3" fontId="56" fillId="0" borderId="0" xfId="187" applyNumberFormat="1" applyFont="1" applyFill="1" applyBorder="1" applyAlignment="1" applyProtection="1">
      <alignment horizontal="center" wrapText="1"/>
    </xf>
    <xf numFmtId="0" fontId="56" fillId="0" borderId="0" xfId="187" applyFont="1" applyFill="1" applyBorder="1" applyAlignment="1" applyProtection="1">
      <alignment horizontal="center" wrapText="1"/>
    </xf>
    <xf numFmtId="172" fontId="86" fillId="0" borderId="0" xfId="0" applyFont="1" applyFill="1" applyBorder="1" applyAlignment="1" applyProtection="1"/>
    <xf numFmtId="10" fontId="56" fillId="0" borderId="0" xfId="59" applyNumberFormat="1" applyFont="1" applyFill="1" applyBorder="1" applyAlignment="1" applyProtection="1">
      <alignment horizontal="center"/>
    </xf>
    <xf numFmtId="173" fontId="56" fillId="0" borderId="0" xfId="59" applyNumberFormat="1" applyFont="1" applyFill="1" applyBorder="1" applyAlignment="1" applyProtection="1">
      <alignment horizontal="center" wrapText="1"/>
    </xf>
    <xf numFmtId="43" fontId="56" fillId="0" borderId="1" xfId="59" applyFont="1" applyFill="1" applyBorder="1" applyAlignment="1" applyProtection="1">
      <alignment horizontal="center"/>
    </xf>
    <xf numFmtId="173" fontId="56" fillId="0" borderId="1" xfId="59" applyNumberFormat="1" applyFont="1" applyFill="1" applyBorder="1" applyAlignment="1" applyProtection="1">
      <alignment horizontal="center" wrapText="1"/>
    </xf>
    <xf numFmtId="0" fontId="85" fillId="0" borderId="0" xfId="0" applyNumberFormat="1" applyFont="1" applyFill="1" applyAlignment="1" applyProtection="1">
      <alignment horizontal="center"/>
    </xf>
    <xf numFmtId="172" fontId="85" fillId="0" borderId="0" xfId="0" applyFont="1" applyFill="1" applyAlignment="1" applyProtection="1">
      <alignment horizontal="center"/>
    </xf>
    <xf numFmtId="44" fontId="85" fillId="0" borderId="0" xfId="0" applyNumberFormat="1" applyFont="1" applyFill="1" applyBorder="1" applyAlignment="1" applyProtection="1"/>
    <xf numFmtId="0" fontId="56" fillId="0" borderId="8" xfId="0" applyNumberFormat="1" applyFont="1" applyFill="1" applyBorder="1" applyAlignment="1" applyProtection="1">
      <alignment horizontal="center"/>
    </xf>
    <xf numFmtId="172" fontId="56" fillId="0" borderId="0" xfId="0" applyFont="1" applyFill="1" applyAlignment="1" applyProtection="1">
      <alignment vertical="center" wrapText="1"/>
    </xf>
    <xf numFmtId="172" fontId="56" fillId="0" borderId="0" xfId="0" applyFont="1" applyFill="1" applyAlignment="1" applyProtection="1">
      <alignment horizontal="left" vertical="center"/>
    </xf>
    <xf numFmtId="0" fontId="56" fillId="0" borderId="0" xfId="0" applyNumberFormat="1" applyFont="1" applyFill="1" applyBorder="1" applyAlignment="1" applyProtection="1">
      <alignment vertical="top"/>
    </xf>
    <xf numFmtId="0" fontId="104" fillId="0" borderId="0" xfId="389" applyFont="1" applyFill="1" applyAlignment="1" applyProtection="1">
      <alignment horizontal="center"/>
    </xf>
    <xf numFmtId="0" fontId="104" fillId="0" borderId="0" xfId="389" applyFont="1" applyFill="1" applyProtection="1"/>
    <xf numFmtId="0" fontId="52" fillId="0" borderId="0" xfId="389" applyFont="1" applyFill="1" applyProtection="1"/>
    <xf numFmtId="0" fontId="46" fillId="0" borderId="0" xfId="390" applyNumberFormat="1" applyFont="1" applyFill="1" applyAlignment="1" applyProtection="1">
      <alignment horizontal="right"/>
    </xf>
    <xf numFmtId="0" fontId="104" fillId="0" borderId="0" xfId="389" applyFont="1" applyFill="1" applyBorder="1" applyProtection="1"/>
    <xf numFmtId="49" fontId="97" fillId="0" borderId="0" xfId="390" applyNumberFormat="1" applyFont="1" applyFill="1" applyAlignment="1" applyProtection="1">
      <alignment horizontal="center"/>
    </xf>
    <xf numFmtId="0" fontId="105" fillId="0" borderId="0" xfId="389" applyFont="1" applyFill="1" applyAlignment="1" applyProtection="1"/>
    <xf numFmtId="0" fontId="106" fillId="0" borderId="0" xfId="389" applyFont="1" applyFill="1" applyAlignment="1" applyProtection="1"/>
    <xf numFmtId="0" fontId="105" fillId="0" borderId="0" xfId="389" applyFont="1" applyFill="1" applyAlignment="1" applyProtection="1">
      <alignment horizontal="center"/>
    </xf>
    <xf numFmtId="0" fontId="105" fillId="0" borderId="0" xfId="389" applyFont="1" applyFill="1" applyAlignment="1" applyProtection="1">
      <alignment horizontal="left"/>
    </xf>
    <xf numFmtId="9" fontId="104" fillId="0" borderId="0" xfId="389" applyNumberFormat="1" applyFont="1" applyFill="1" applyAlignment="1" applyProtection="1">
      <alignment horizontal="center"/>
    </xf>
    <xf numFmtId="9" fontId="105" fillId="0" borderId="0" xfId="391" applyNumberFormat="1" applyFont="1" applyFill="1" applyBorder="1" applyAlignment="1" applyProtection="1">
      <alignment horizontal="center"/>
    </xf>
    <xf numFmtId="182" fontId="104" fillId="0" borderId="0" xfId="392" applyNumberFormat="1" applyFont="1" applyFill="1" applyBorder="1" applyAlignment="1" applyProtection="1">
      <alignment horizontal="center"/>
    </xf>
    <xf numFmtId="182" fontId="104" fillId="0" borderId="0" xfId="392" applyNumberFormat="1" applyFont="1" applyFill="1" applyAlignment="1" applyProtection="1">
      <alignment horizontal="center"/>
    </xf>
    <xf numFmtId="10" fontId="104" fillId="0" borderId="0" xfId="391" applyNumberFormat="1" applyFont="1" applyFill="1" applyBorder="1" applyAlignment="1" applyProtection="1">
      <alignment horizontal="center"/>
    </xf>
    <xf numFmtId="0" fontId="46" fillId="0" borderId="0" xfId="389" applyFont="1" applyFill="1" applyBorder="1" applyProtection="1"/>
    <xf numFmtId="0" fontId="109" fillId="0" borderId="0" xfId="389" applyFont="1" applyFill="1" applyBorder="1" applyProtection="1"/>
    <xf numFmtId="10" fontId="104" fillId="0" borderId="0" xfId="391" applyNumberFormat="1" applyFont="1" applyFill="1" applyProtection="1"/>
    <xf numFmtId="182" fontId="104" fillId="0" borderId="0" xfId="392" applyNumberFormat="1" applyFont="1" applyFill="1" applyProtection="1"/>
    <xf numFmtId="0" fontId="119" fillId="0" borderId="0" xfId="393" applyFont="1" applyFill="1" applyBorder="1" applyAlignment="1" applyProtection="1">
      <alignment horizontal="center" vertical="center" wrapText="1"/>
    </xf>
    <xf numFmtId="9" fontId="104" fillId="0" borderId="0" xfId="391" applyFont="1" applyFill="1" applyProtection="1"/>
    <xf numFmtId="0" fontId="119" fillId="0" borderId="0" xfId="393" applyFont="1" applyFill="1" applyBorder="1" applyProtection="1"/>
    <xf numFmtId="0" fontId="119" fillId="0" borderId="0" xfId="393" applyFont="1" applyFill="1" applyBorder="1" applyAlignment="1" applyProtection="1">
      <alignment horizontal="left" vertical="center"/>
    </xf>
    <xf numFmtId="15" fontId="119" fillId="0" borderId="0" xfId="393" applyNumberFormat="1" applyFont="1" applyFill="1" applyBorder="1" applyAlignment="1" applyProtection="1">
      <alignment vertical="center" wrapText="1"/>
    </xf>
    <xf numFmtId="173" fontId="119" fillId="0" borderId="0" xfId="394" applyNumberFormat="1" applyFont="1" applyFill="1" applyBorder="1" applyAlignment="1" applyProtection="1">
      <alignment horizontal="right" vertical="center" wrapText="1"/>
    </xf>
    <xf numFmtId="173" fontId="119" fillId="0" borderId="0" xfId="394" applyNumberFormat="1" applyFont="1" applyFill="1" applyBorder="1" applyAlignment="1" applyProtection="1">
      <alignment vertical="center" wrapText="1"/>
    </xf>
    <xf numFmtId="10" fontId="119" fillId="0" borderId="0" xfId="391" applyNumberFormat="1" applyFont="1" applyFill="1" applyBorder="1" applyProtection="1"/>
    <xf numFmtId="43" fontId="104" fillId="0" borderId="0" xfId="392" applyFont="1" applyFill="1" applyBorder="1" applyProtection="1"/>
    <xf numFmtId="173" fontId="104" fillId="0" borderId="0" xfId="392" applyNumberFormat="1" applyFont="1" applyFill="1" applyBorder="1" applyProtection="1"/>
    <xf numFmtId="173" fontId="52" fillId="0" borderId="0" xfId="392" applyNumberFormat="1" applyFont="1" applyFill="1" applyProtection="1"/>
    <xf numFmtId="173" fontId="104" fillId="0" borderId="0" xfId="59" applyNumberFormat="1" applyFont="1" applyFill="1" applyProtection="1"/>
    <xf numFmtId="173" fontId="104" fillId="0" borderId="0" xfId="389" applyNumberFormat="1" applyFont="1" applyFill="1" applyProtection="1"/>
    <xf numFmtId="10" fontId="104" fillId="0" borderId="0" xfId="391" applyNumberFormat="1" applyFont="1" applyFill="1" applyBorder="1" applyProtection="1"/>
    <xf numFmtId="43" fontId="104" fillId="0" borderId="0" xfId="392" applyFont="1" applyFill="1" applyProtection="1"/>
    <xf numFmtId="182" fontId="46" fillId="0" borderId="0" xfId="392" applyNumberFormat="1" applyFont="1" applyFill="1" applyBorder="1" applyProtection="1"/>
    <xf numFmtId="9" fontId="46" fillId="0" borderId="0" xfId="391" applyFont="1" applyFill="1" applyBorder="1" applyProtection="1"/>
    <xf numFmtId="173" fontId="104" fillId="0" borderId="0" xfId="392" applyNumberFormat="1" applyFont="1" applyFill="1" applyProtection="1"/>
    <xf numFmtId="41" fontId="52" fillId="0" borderId="0" xfId="389" applyNumberFormat="1" applyFont="1" applyFill="1" applyProtection="1"/>
    <xf numFmtId="49" fontId="46" fillId="0" borderId="0" xfId="390" applyNumberFormat="1" applyFont="1" applyFill="1" applyAlignment="1" applyProtection="1">
      <alignment horizontal="center"/>
    </xf>
    <xf numFmtId="49" fontId="46" fillId="0" borderId="0" xfId="390" applyNumberFormat="1" applyFont="1" applyFill="1" applyAlignment="1" applyProtection="1"/>
    <xf numFmtId="0" fontId="105" fillId="0" borderId="0" xfId="389" applyFont="1" applyFill="1" applyProtection="1"/>
    <xf numFmtId="0" fontId="104" fillId="0" borderId="8" xfId="389" applyFont="1" applyFill="1" applyBorder="1" applyAlignment="1" applyProtection="1">
      <alignment horizontal="left"/>
    </xf>
    <xf numFmtId="0" fontId="104" fillId="0" borderId="0" xfId="389" applyFont="1" applyFill="1" applyAlignment="1" applyProtection="1">
      <alignment horizontal="left"/>
    </xf>
    <xf numFmtId="0" fontId="52" fillId="0" borderId="0" xfId="389" applyFont="1" applyFill="1" applyBorder="1" applyAlignment="1" applyProtection="1">
      <alignment horizontal="left"/>
    </xf>
    <xf numFmtId="0" fontId="52" fillId="0" borderId="0" xfId="389" applyFont="1" applyFill="1" applyBorder="1" applyProtection="1"/>
    <xf numFmtId="41" fontId="127" fillId="0" borderId="0" xfId="389" applyNumberFormat="1" applyFont="1" applyFill="1" applyBorder="1" applyAlignment="1" applyProtection="1">
      <alignment horizontal="center"/>
    </xf>
    <xf numFmtId="41" fontId="52" fillId="0" borderId="0" xfId="389" applyNumberFormat="1" applyFont="1" applyFill="1" applyBorder="1" applyProtection="1"/>
    <xf numFmtId="0" fontId="52" fillId="0" borderId="0" xfId="389" applyFont="1" applyFill="1" applyAlignment="1" applyProtection="1">
      <alignment horizontal="right"/>
    </xf>
    <xf numFmtId="0" fontId="52" fillId="0" borderId="0" xfId="389" applyFont="1" applyFill="1" applyBorder="1" applyAlignment="1" applyProtection="1">
      <alignment horizontal="right"/>
    </xf>
    <xf numFmtId="0" fontId="63" fillId="0" borderId="0" xfId="389" applyFont="1" applyFill="1" applyAlignment="1" applyProtection="1">
      <alignment horizontal="center"/>
    </xf>
    <xf numFmtId="41" fontId="63" fillId="0" borderId="0" xfId="389" applyNumberFormat="1" applyFont="1" applyFill="1" applyAlignment="1" applyProtection="1">
      <alignment horizontal="center"/>
    </xf>
    <xf numFmtId="41" fontId="127" fillId="0" borderId="0" xfId="389" applyNumberFormat="1" applyFont="1" applyFill="1" applyAlignment="1" applyProtection="1">
      <alignment horizontal="center"/>
    </xf>
    <xf numFmtId="0" fontId="127" fillId="0" borderId="0" xfId="389" applyFont="1" applyFill="1" applyBorder="1" applyProtection="1"/>
    <xf numFmtId="274" fontId="52" fillId="0" borderId="0" xfId="391" applyNumberFormat="1" applyFont="1" applyFill="1" applyBorder="1" applyProtection="1"/>
    <xf numFmtId="274" fontId="52" fillId="0" borderId="0" xfId="389" applyNumberFormat="1" applyFont="1" applyFill="1" applyBorder="1" applyProtection="1"/>
    <xf numFmtId="0" fontId="52" fillId="0" borderId="0" xfId="389" applyFont="1" applyFill="1" applyAlignment="1" applyProtection="1">
      <alignment horizontal="left"/>
    </xf>
    <xf numFmtId="41" fontId="52" fillId="0" borderId="0" xfId="389" applyNumberFormat="1" applyFont="1" applyFill="1" applyAlignment="1" applyProtection="1">
      <alignment horizontal="left"/>
    </xf>
    <xf numFmtId="0" fontId="127" fillId="0" borderId="0" xfId="389" applyFont="1" applyFill="1" applyProtection="1"/>
    <xf numFmtId="0" fontId="127" fillId="0" borderId="0" xfId="389" applyFont="1" applyFill="1" applyAlignment="1" applyProtection="1">
      <alignment horizontal="center"/>
    </xf>
    <xf numFmtId="0" fontId="56" fillId="0" borderId="0" xfId="389" applyFont="1" applyFill="1" applyProtection="1"/>
    <xf numFmtId="41" fontId="56" fillId="0" borderId="0" xfId="389" applyNumberFormat="1" applyFont="1" applyFill="1" applyProtection="1"/>
    <xf numFmtId="0" fontId="104" fillId="0" borderId="0" xfId="389" applyFont="1" applyFill="1" applyBorder="1" applyAlignment="1" applyProtection="1">
      <alignment horizontal="left"/>
    </xf>
    <xf numFmtId="0" fontId="63" fillId="0" borderId="9" xfId="389" applyFont="1" applyFill="1" applyBorder="1" applyProtection="1"/>
    <xf numFmtId="41" fontId="52" fillId="0" borderId="9" xfId="389" applyNumberFormat="1" applyFont="1" applyFill="1" applyBorder="1" applyProtection="1"/>
    <xf numFmtId="37" fontId="52" fillId="0" borderId="9" xfId="389" applyNumberFormat="1" applyFont="1" applyFill="1" applyBorder="1" applyProtection="1"/>
    <xf numFmtId="41" fontId="104" fillId="0" borderId="0" xfId="389" applyNumberFormat="1" applyFont="1" applyFill="1" applyProtection="1"/>
    <xf numFmtId="0" fontId="63" fillId="0" borderId="0" xfId="389" applyFont="1" applyFill="1" applyBorder="1" applyProtection="1"/>
    <xf numFmtId="41" fontId="63" fillId="0" borderId="0" xfId="389" applyNumberFormat="1" applyFont="1" applyFill="1" applyBorder="1" applyProtection="1"/>
    <xf numFmtId="41" fontId="52" fillId="0" borderId="0" xfId="389" applyNumberFormat="1" applyFont="1" applyFill="1" applyBorder="1" applyAlignment="1" applyProtection="1">
      <alignment horizontal="center"/>
    </xf>
    <xf numFmtId="37" fontId="52" fillId="0" borderId="0" xfId="389" applyNumberFormat="1" applyFont="1" applyFill="1" applyBorder="1" applyAlignment="1" applyProtection="1">
      <alignment horizontal="center"/>
    </xf>
    <xf numFmtId="0" fontId="63" fillId="0" borderId="19" xfId="389" applyFont="1" applyFill="1" applyBorder="1" applyProtection="1"/>
    <xf numFmtId="41" fontId="63" fillId="0" borderId="3" xfId="389" applyNumberFormat="1" applyFont="1" applyFill="1" applyBorder="1" applyProtection="1"/>
    <xf numFmtId="41" fontId="52" fillId="0" borderId="3" xfId="389" applyNumberFormat="1" applyFont="1" applyFill="1" applyBorder="1" applyProtection="1"/>
    <xf numFmtId="41" fontId="52" fillId="0" borderId="3" xfId="389" applyNumberFormat="1" applyFont="1" applyFill="1" applyBorder="1" applyAlignment="1" applyProtection="1">
      <alignment horizontal="center"/>
    </xf>
    <xf numFmtId="0" fontId="52" fillId="0" borderId="20" xfId="389" applyFont="1" applyFill="1" applyBorder="1" applyAlignment="1" applyProtection="1">
      <alignment horizontal="center"/>
    </xf>
    <xf numFmtId="0" fontId="63" fillId="0" borderId="10" xfId="389" applyFont="1" applyFill="1" applyBorder="1" applyAlignment="1" applyProtection="1">
      <alignment horizontal="left"/>
    </xf>
    <xf numFmtId="0" fontId="52" fillId="0" borderId="12" xfId="389" applyFont="1" applyFill="1" applyBorder="1" applyProtection="1"/>
    <xf numFmtId="41" fontId="63" fillId="0" borderId="0" xfId="389" applyNumberFormat="1" applyFont="1" applyFill="1" applyBorder="1" applyAlignment="1" applyProtection="1">
      <alignment horizontal="left"/>
    </xf>
    <xf numFmtId="0" fontId="52" fillId="0" borderId="12" xfId="389" applyFont="1" applyFill="1" applyBorder="1" applyAlignment="1" applyProtection="1">
      <alignment horizontal="center"/>
    </xf>
    <xf numFmtId="0" fontId="63" fillId="0" borderId="10" xfId="389" applyFont="1" applyFill="1" applyBorder="1" applyAlignment="1" applyProtection="1"/>
    <xf numFmtId="0" fontId="63" fillId="0" borderId="10" xfId="389" applyFont="1" applyFill="1" applyBorder="1" applyProtection="1"/>
    <xf numFmtId="0" fontId="63" fillId="0" borderId="17" xfId="389" applyFont="1" applyFill="1" applyBorder="1" applyAlignment="1" applyProtection="1">
      <alignment horizontal="left"/>
    </xf>
    <xf numFmtId="41" fontId="63" fillId="0" borderId="1" xfId="389" applyNumberFormat="1" applyFont="1" applyFill="1" applyBorder="1" applyAlignment="1" applyProtection="1">
      <alignment horizontal="left"/>
    </xf>
    <xf numFmtId="41" fontId="52" fillId="0" borderId="1" xfId="389" applyNumberFormat="1" applyFont="1" applyFill="1" applyBorder="1" applyProtection="1"/>
    <xf numFmtId="41" fontId="52" fillId="0" borderId="1" xfId="389" applyNumberFormat="1" applyFont="1" applyFill="1" applyBorder="1" applyAlignment="1" applyProtection="1">
      <alignment horizontal="center"/>
    </xf>
    <xf numFmtId="0" fontId="52" fillId="0" borderId="21" xfId="389" applyFont="1" applyFill="1" applyBorder="1" applyAlignment="1" applyProtection="1">
      <alignment horizontal="center"/>
    </xf>
    <xf numFmtId="0" fontId="56" fillId="0" borderId="0" xfId="389" applyFont="1" applyFill="1" applyBorder="1" applyAlignment="1" applyProtection="1">
      <alignment horizontal="left"/>
    </xf>
    <xf numFmtId="41" fontId="63" fillId="0" borderId="0" xfId="389" applyNumberFormat="1" applyFont="1" applyFill="1" applyBorder="1" applyAlignment="1" applyProtection="1">
      <alignment horizontal="center"/>
    </xf>
    <xf numFmtId="41" fontId="52" fillId="0" borderId="0" xfId="389" applyNumberFormat="1" applyFont="1" applyFill="1" applyBorder="1" applyAlignment="1" applyProtection="1"/>
    <xf numFmtId="0" fontId="63" fillId="0" borderId="0" xfId="389" applyFont="1" applyFill="1" applyBorder="1" applyAlignment="1" applyProtection="1">
      <alignment horizontal="center"/>
    </xf>
    <xf numFmtId="0" fontId="52" fillId="0" borderId="0" xfId="389" applyFont="1" applyFill="1" applyBorder="1" applyAlignment="1" applyProtection="1"/>
    <xf numFmtId="0" fontId="56" fillId="0" borderId="0" xfId="389" applyFont="1" applyFill="1" applyBorder="1" applyProtection="1"/>
    <xf numFmtId="41" fontId="56" fillId="0" borderId="0" xfId="389" applyNumberFormat="1" applyFont="1" applyFill="1" applyBorder="1" applyProtection="1"/>
    <xf numFmtId="41" fontId="56" fillId="0" borderId="0" xfId="389" applyNumberFormat="1" applyFont="1" applyFill="1" applyBorder="1" applyAlignment="1" applyProtection="1"/>
    <xf numFmtId="0" fontId="52" fillId="0" borderId="9" xfId="389" applyFont="1" applyFill="1" applyBorder="1" applyProtection="1"/>
    <xf numFmtId="41" fontId="128" fillId="0" borderId="0" xfId="389" applyNumberFormat="1" applyFont="1" applyFill="1" applyBorder="1" applyProtection="1"/>
    <xf numFmtId="37" fontId="52" fillId="0" borderId="0" xfId="389" applyNumberFormat="1" applyFont="1" applyFill="1" applyBorder="1" applyProtection="1"/>
    <xf numFmtId="0" fontId="63" fillId="0" borderId="24" xfId="389" applyFont="1" applyFill="1" applyBorder="1" applyProtection="1"/>
    <xf numFmtId="41" fontId="63" fillId="0" borderId="25" xfId="389" applyNumberFormat="1" applyFont="1" applyFill="1" applyBorder="1" applyProtection="1"/>
    <xf numFmtId="41" fontId="52" fillId="0" borderId="25" xfId="389" applyNumberFormat="1" applyFont="1" applyFill="1" applyBorder="1" applyProtection="1"/>
    <xf numFmtId="41" fontId="52" fillId="0" borderId="25" xfId="389" applyNumberFormat="1" applyFont="1" applyFill="1" applyBorder="1" applyAlignment="1" applyProtection="1">
      <alignment horizontal="center"/>
    </xf>
    <xf numFmtId="0" fontId="52" fillId="0" borderId="26" xfId="389" applyFont="1" applyFill="1" applyBorder="1" applyAlignment="1" applyProtection="1">
      <alignment horizontal="center"/>
    </xf>
    <xf numFmtId="41" fontId="63" fillId="0" borderId="0" xfId="389" applyNumberFormat="1" applyFont="1" applyFill="1" applyBorder="1" applyAlignment="1" applyProtection="1">
      <alignment horizontal="left" wrapText="1"/>
    </xf>
    <xf numFmtId="0" fontId="52" fillId="0" borderId="27" xfId="389" applyFont="1" applyFill="1" applyBorder="1" applyAlignment="1" applyProtection="1"/>
    <xf numFmtId="0" fontId="52" fillId="0" borderId="27" xfId="389" applyFont="1" applyFill="1" applyBorder="1" applyAlignment="1" applyProtection="1">
      <alignment horizontal="center"/>
    </xf>
    <xf numFmtId="41" fontId="63" fillId="0" borderId="0" xfId="389" applyNumberFormat="1" applyFont="1" applyFill="1" applyBorder="1" applyAlignment="1" applyProtection="1">
      <alignment wrapText="1"/>
    </xf>
    <xf numFmtId="41" fontId="52" fillId="0" borderId="0" xfId="389" applyNumberFormat="1" applyFont="1" applyFill="1" applyBorder="1" applyAlignment="1" applyProtection="1">
      <alignment wrapText="1"/>
    </xf>
    <xf numFmtId="0" fontId="52" fillId="0" borderId="27" xfId="389" applyFont="1" applyFill="1" applyBorder="1" applyAlignment="1" applyProtection="1">
      <alignment wrapText="1"/>
    </xf>
    <xf numFmtId="41" fontId="63" fillId="0" borderId="8" xfId="389" applyNumberFormat="1" applyFont="1" applyFill="1" applyBorder="1" applyAlignment="1" applyProtection="1">
      <alignment horizontal="left"/>
    </xf>
    <xf numFmtId="41" fontId="52" fillId="0" borderId="8" xfId="389" applyNumberFormat="1" applyFont="1" applyFill="1" applyBorder="1" applyProtection="1"/>
    <xf numFmtId="41" fontId="52" fillId="0" borderId="8" xfId="389" applyNumberFormat="1" applyFont="1" applyFill="1" applyBorder="1" applyAlignment="1" applyProtection="1">
      <alignment horizontal="center"/>
    </xf>
    <xf numFmtId="0" fontId="52" fillId="0" borderId="28" xfId="389" applyFont="1" applyFill="1" applyBorder="1" applyAlignment="1" applyProtection="1">
      <alignment horizontal="center"/>
    </xf>
    <xf numFmtId="0" fontId="63" fillId="0" borderId="0" xfId="389" applyFont="1" applyFill="1" applyBorder="1" applyAlignment="1" applyProtection="1">
      <alignment horizontal="left"/>
    </xf>
    <xf numFmtId="41" fontId="52" fillId="0" borderId="9" xfId="392" applyNumberFormat="1" applyFont="1" applyFill="1" applyBorder="1" applyAlignment="1" applyProtection="1">
      <alignment horizontal="right"/>
    </xf>
    <xf numFmtId="0" fontId="56" fillId="0" borderId="9" xfId="389" applyFont="1" applyFill="1" applyBorder="1" applyProtection="1"/>
    <xf numFmtId="41" fontId="52" fillId="0" borderId="0" xfId="392" applyNumberFormat="1" applyFont="1" applyFill="1" applyBorder="1" applyAlignment="1" applyProtection="1">
      <alignment horizontal="right"/>
    </xf>
    <xf numFmtId="41" fontId="52" fillId="14" borderId="9" xfId="440" applyNumberFormat="1" applyFont="1" applyFill="1" applyBorder="1" applyProtection="1">
      <protection locked="0"/>
    </xf>
    <xf numFmtId="37" fontId="52" fillId="14" borderId="9" xfId="440" applyNumberFormat="1" applyFont="1" applyFill="1" applyBorder="1" applyAlignment="1" applyProtection="1">
      <alignment wrapText="1"/>
      <protection locked="0"/>
    </xf>
    <xf numFmtId="0" fontId="52" fillId="0" borderId="0" xfId="389" applyFont="1" applyFill="1" applyBorder="1" applyAlignment="1" applyProtection="1">
      <alignment horizontal="right" wrapText="1"/>
    </xf>
    <xf numFmtId="0" fontId="52" fillId="0" borderId="0" xfId="389" applyFont="1" applyFill="1" applyBorder="1" applyAlignment="1" applyProtection="1">
      <alignment wrapText="1"/>
    </xf>
    <xf numFmtId="173" fontId="52" fillId="0" borderId="0" xfId="392" applyNumberFormat="1" applyFont="1" applyFill="1" applyBorder="1" applyProtection="1"/>
    <xf numFmtId="10" fontId="52" fillId="0" borderId="0" xfId="391" applyNumberFormat="1" applyFont="1" applyFill="1" applyBorder="1" applyProtection="1"/>
    <xf numFmtId="10" fontId="52" fillId="0" borderId="0" xfId="391" applyNumberFormat="1" applyFont="1" applyFill="1" applyBorder="1" applyAlignment="1" applyProtection="1">
      <alignment wrapText="1"/>
    </xf>
    <xf numFmtId="173" fontId="52" fillId="0" borderId="0" xfId="392" applyNumberFormat="1" applyFont="1" applyFill="1" applyBorder="1" applyAlignment="1" applyProtection="1">
      <alignment wrapText="1"/>
    </xf>
    <xf numFmtId="41" fontId="52" fillId="0" borderId="0" xfId="389" applyNumberFormat="1" applyFont="1" applyFill="1" applyBorder="1" applyAlignment="1" applyProtection="1">
      <alignment horizontal="left"/>
    </xf>
    <xf numFmtId="0" fontId="52" fillId="0" borderId="0" xfId="389" applyFont="1" applyFill="1" applyAlignment="1" applyProtection="1">
      <alignment wrapText="1"/>
    </xf>
    <xf numFmtId="0" fontId="63" fillId="0" borderId="0" xfId="389" applyFont="1" applyFill="1" applyAlignment="1" applyProtection="1">
      <alignment horizontal="center" wrapText="1"/>
    </xf>
    <xf numFmtId="0" fontId="127" fillId="0" borderId="0" xfId="389" applyFont="1" applyFill="1" applyAlignment="1" applyProtection="1">
      <alignment horizontal="center" wrapText="1"/>
    </xf>
    <xf numFmtId="41" fontId="52" fillId="0" borderId="0" xfId="389" applyNumberFormat="1" applyFont="1" applyFill="1" applyAlignment="1" applyProtection="1">
      <alignment horizontal="center"/>
    </xf>
    <xf numFmtId="0" fontId="103" fillId="0" borderId="0" xfId="396" applyFont="1" applyFill="1" applyProtection="1"/>
    <xf numFmtId="0" fontId="63" fillId="0" borderId="9" xfId="440" applyFont="1" applyFill="1" applyBorder="1" applyProtection="1"/>
    <xf numFmtId="41" fontId="52" fillId="0" borderId="9" xfId="440" applyNumberFormat="1" applyFont="1" applyFill="1" applyBorder="1" applyProtection="1"/>
    <xf numFmtId="37" fontId="52" fillId="0" borderId="9" xfId="440" applyNumberFormat="1" applyFont="1" applyFill="1" applyBorder="1" applyAlignment="1" applyProtection="1">
      <alignment wrapText="1"/>
    </xf>
    <xf numFmtId="37" fontId="52" fillId="0" borderId="0" xfId="389" applyNumberFormat="1" applyFont="1" applyFill="1" applyBorder="1" applyAlignment="1" applyProtection="1">
      <alignment horizontal="center" wrapText="1"/>
    </xf>
    <xf numFmtId="0" fontId="52" fillId="0" borderId="20" xfId="389" applyFont="1" applyFill="1" applyBorder="1" applyAlignment="1" applyProtection="1">
      <alignment horizontal="center" wrapText="1"/>
    </xf>
    <xf numFmtId="0" fontId="52" fillId="0" borderId="12" xfId="389" applyFont="1" applyFill="1" applyBorder="1" applyAlignment="1" applyProtection="1">
      <alignment wrapText="1"/>
    </xf>
    <xf numFmtId="0" fontId="52" fillId="0" borderId="12" xfId="389" applyFont="1" applyFill="1" applyBorder="1" applyAlignment="1" applyProtection="1">
      <alignment horizontal="center" wrapText="1"/>
    </xf>
    <xf numFmtId="0" fontId="52" fillId="0" borderId="21" xfId="389" applyFont="1" applyFill="1" applyBorder="1" applyAlignment="1" applyProtection="1">
      <alignment horizontal="center" wrapText="1"/>
    </xf>
    <xf numFmtId="0" fontId="46" fillId="0" borderId="0" xfId="390" applyNumberFormat="1" applyFont="1" applyFill="1" applyAlignment="1" applyProtection="1">
      <alignment horizontal="right" wrapText="1"/>
    </xf>
    <xf numFmtId="0" fontId="52" fillId="0" borderId="0" xfId="389" applyFont="1" applyFill="1" applyAlignment="1" applyProtection="1">
      <alignment horizontal="right" wrapText="1"/>
    </xf>
    <xf numFmtId="0" fontId="127" fillId="0" borderId="0" xfId="389" applyFont="1" applyFill="1" applyBorder="1" applyAlignment="1" applyProtection="1">
      <alignment wrapText="1"/>
    </xf>
    <xf numFmtId="0" fontId="63" fillId="0" borderId="0" xfId="389" applyFont="1" applyFill="1" applyBorder="1" applyAlignment="1" applyProtection="1">
      <alignment horizontal="center" wrapText="1"/>
    </xf>
    <xf numFmtId="0" fontId="52" fillId="0" borderId="9" xfId="389" applyFont="1" applyFill="1" applyBorder="1" applyAlignment="1" applyProtection="1">
      <alignment wrapText="1"/>
    </xf>
    <xf numFmtId="41" fontId="52" fillId="0" borderId="9" xfId="448" applyNumberFormat="1" applyFont="1" applyFill="1" applyBorder="1" applyProtection="1"/>
    <xf numFmtId="0" fontId="52" fillId="0" borderId="9" xfId="448" applyFont="1" applyFill="1" applyBorder="1" applyAlignment="1" applyProtection="1">
      <alignment wrapText="1"/>
    </xf>
    <xf numFmtId="37" fontId="52" fillId="0" borderId="0" xfId="389" applyNumberFormat="1" applyFont="1" applyFill="1" applyBorder="1" applyAlignment="1" applyProtection="1">
      <alignment wrapText="1"/>
    </xf>
    <xf numFmtId="0" fontId="52" fillId="0" borderId="0" xfId="389" applyFont="1" applyFill="1" applyBorder="1" applyAlignment="1" applyProtection="1">
      <alignment horizontal="center" wrapText="1"/>
    </xf>
    <xf numFmtId="0" fontId="52" fillId="0" borderId="26" xfId="389" applyFont="1" applyFill="1" applyBorder="1" applyAlignment="1" applyProtection="1">
      <alignment horizontal="center" wrapText="1"/>
    </xf>
    <xf numFmtId="0" fontId="52" fillId="0" borderId="27" xfId="389" applyFont="1" applyFill="1" applyBorder="1" applyAlignment="1" applyProtection="1">
      <alignment horizontal="center" wrapText="1"/>
    </xf>
    <xf numFmtId="0" fontId="63" fillId="0" borderId="29" xfId="389" applyFont="1" applyFill="1" applyBorder="1" applyAlignment="1" applyProtection="1">
      <alignment horizontal="left"/>
    </xf>
    <xf numFmtId="0" fontId="52" fillId="0" borderId="28" xfId="389" applyFont="1" applyFill="1" applyBorder="1" applyAlignment="1" applyProtection="1">
      <alignment horizontal="center" wrapText="1"/>
    </xf>
    <xf numFmtId="0" fontId="63" fillId="0" borderId="0" xfId="389" applyFont="1" applyFill="1" applyBorder="1" applyAlignment="1" applyProtection="1"/>
    <xf numFmtId="41" fontId="52" fillId="0" borderId="9" xfId="442" applyNumberFormat="1" applyFont="1" applyFill="1" applyBorder="1" applyAlignment="1" applyProtection="1">
      <alignment horizontal="right"/>
    </xf>
    <xf numFmtId="0" fontId="56" fillId="0" borderId="9" xfId="389" applyFont="1" applyFill="1" applyBorder="1" applyAlignment="1" applyProtection="1">
      <alignment wrapText="1"/>
    </xf>
    <xf numFmtId="0" fontId="56" fillId="0" borderId="0" xfId="389" applyFont="1" applyFill="1" applyBorder="1" applyAlignment="1" applyProtection="1">
      <alignment wrapText="1"/>
    </xf>
    <xf numFmtId="41" fontId="52" fillId="14" borderId="9" xfId="445" applyNumberFormat="1" applyFont="1" applyFill="1" applyBorder="1" applyProtection="1">
      <protection locked="0"/>
    </xf>
    <xf numFmtId="41" fontId="52" fillId="14" borderId="9" xfId="440" applyNumberFormat="1" applyFont="1" applyFill="1" applyBorder="1" applyAlignment="1" applyProtection="1">
      <alignment horizontal="left" vertical="top" wrapText="1"/>
      <protection locked="0"/>
    </xf>
    <xf numFmtId="0" fontId="52" fillId="14" borderId="9" xfId="440" applyFont="1" applyFill="1" applyBorder="1" applyAlignment="1" applyProtection="1">
      <alignment wrapText="1"/>
      <protection locked="0"/>
    </xf>
    <xf numFmtId="0" fontId="56" fillId="14" borderId="9" xfId="440" applyFont="1" applyFill="1" applyBorder="1" applyAlignment="1" applyProtection="1">
      <alignment wrapText="1"/>
      <protection locked="0"/>
    </xf>
    <xf numFmtId="37" fontId="52" fillId="14" borderId="9" xfId="440" applyNumberFormat="1" applyFont="1" applyFill="1" applyBorder="1" applyProtection="1">
      <protection locked="0"/>
    </xf>
    <xf numFmtId="41" fontId="56" fillId="14" borderId="9" xfId="440" applyNumberFormat="1" applyFont="1" applyFill="1" applyBorder="1" applyProtection="1">
      <protection locked="0"/>
    </xf>
    <xf numFmtId="172" fontId="52" fillId="0" borderId="0" xfId="0" applyFont="1" applyFill="1" applyAlignment="1" applyProtection="1"/>
    <xf numFmtId="172" fontId="106" fillId="0" borderId="0" xfId="0" applyFont="1" applyFill="1" applyAlignment="1" applyProtection="1"/>
    <xf numFmtId="0" fontId="52" fillId="0" borderId="0" xfId="212" quotePrefix="1" applyFont="1" applyFill="1" applyAlignment="1" applyProtection="1">
      <alignment horizontal="left"/>
    </xf>
    <xf numFmtId="172" fontId="52" fillId="0" borderId="0" xfId="0" applyFont="1" applyFill="1" applyAlignment="1" applyProtection="1">
      <alignment horizontal="center"/>
    </xf>
    <xf numFmtId="0" fontId="104" fillId="0" borderId="0" xfId="389" quotePrefix="1" applyFont="1" applyFill="1" applyAlignment="1" applyProtection="1">
      <alignment horizontal="center"/>
    </xf>
    <xf numFmtId="172" fontId="52" fillId="0" borderId="0" xfId="0" quotePrefix="1" applyFont="1" applyFill="1" applyAlignment="1" applyProtection="1">
      <alignment horizontal="center"/>
    </xf>
    <xf numFmtId="0" fontId="52" fillId="0" borderId="0" xfId="0" applyNumberFormat="1" applyFont="1" applyFill="1" applyAlignment="1" applyProtection="1">
      <alignment horizontal="center"/>
    </xf>
    <xf numFmtId="173" fontId="52" fillId="0" borderId="0" xfId="59" applyNumberFormat="1" applyFont="1" applyFill="1" applyAlignment="1" applyProtection="1"/>
    <xf numFmtId="173" fontId="52" fillId="0" borderId="0" xfId="59" applyNumberFormat="1" applyFont="1" applyFill="1" applyAlignment="1" applyProtection="1">
      <alignment horizontal="right"/>
    </xf>
    <xf numFmtId="10" fontId="52" fillId="0" borderId="0" xfId="266" applyNumberFormat="1" applyFont="1" applyFill="1" applyAlignment="1" applyProtection="1"/>
    <xf numFmtId="173" fontId="104" fillId="0" borderId="0" xfId="389" applyNumberFormat="1" applyFont="1" applyFill="1" applyAlignment="1" applyProtection="1">
      <alignment horizontal="center"/>
    </xf>
    <xf numFmtId="172" fontId="46" fillId="0" borderId="0" xfId="0" applyFont="1" applyFill="1" applyAlignment="1" applyProtection="1"/>
    <xf numFmtId="173" fontId="56" fillId="0" borderId="0" xfId="59" applyNumberFormat="1" applyFont="1" applyFill="1" applyAlignment="1" applyProtection="1">
      <alignment horizontal="left"/>
    </xf>
    <xf numFmtId="0" fontId="126" fillId="0" borderId="0" xfId="184" applyFont="1" applyFill="1" applyProtection="1"/>
    <xf numFmtId="0" fontId="56" fillId="0" borderId="0" xfId="184" applyFont="1" applyFill="1" applyProtection="1"/>
    <xf numFmtId="173" fontId="63" fillId="0" borderId="0" xfId="59" applyNumberFormat="1" applyFont="1" applyFill="1" applyAlignment="1" applyProtection="1"/>
    <xf numFmtId="0" fontId="63" fillId="0" borderId="0" xfId="212" quotePrefix="1" applyFont="1" applyFill="1" applyAlignment="1" applyProtection="1">
      <alignment horizontal="left"/>
    </xf>
    <xf numFmtId="0" fontId="56" fillId="0" borderId="0" xfId="212" quotePrefix="1" applyFont="1" applyFill="1" applyAlignment="1" applyProtection="1">
      <alignment horizontal="center"/>
    </xf>
    <xf numFmtId="174" fontId="56" fillId="0" borderId="0" xfId="93" quotePrefix="1" applyNumberFormat="1" applyFont="1" applyFill="1" applyAlignment="1" applyProtection="1">
      <alignment horizontal="left"/>
    </xf>
    <xf numFmtId="173" fontId="56" fillId="0" borderId="0" xfId="59" quotePrefix="1" applyNumberFormat="1" applyFont="1" applyFill="1" applyAlignment="1" applyProtection="1">
      <alignment horizontal="left"/>
    </xf>
    <xf numFmtId="172" fontId="46" fillId="0" borderId="8" xfId="0" applyFont="1" applyBorder="1" applyAlignment="1" applyProtection="1"/>
    <xf numFmtId="49" fontId="86" fillId="0" borderId="0" xfId="0" applyNumberFormat="1" applyFont="1" applyFill="1" applyAlignment="1" applyProtection="1">
      <alignment horizontal="center"/>
    </xf>
    <xf numFmtId="49" fontId="56" fillId="0" borderId="0" xfId="0" applyNumberFormat="1" applyFont="1" applyFill="1" applyAlignment="1" applyProtection="1">
      <alignment horizontal="center" vertical="center" wrapText="1"/>
    </xf>
    <xf numFmtId="0" fontId="56" fillId="0" borderId="0" xfId="192" applyFont="1" applyFill="1" applyAlignment="1" applyProtection="1">
      <alignment horizontal="center" vertical="center" wrapText="1"/>
    </xf>
    <xf numFmtId="0" fontId="56" fillId="0" borderId="0" xfId="206" applyNumberFormat="1" applyFont="1" applyFill="1" applyAlignment="1" applyProtection="1">
      <alignment horizontal="center" wrapText="1"/>
    </xf>
    <xf numFmtId="172" fontId="56" fillId="0" borderId="0" xfId="0" applyFont="1" applyFill="1" applyAlignment="1" applyProtection="1">
      <alignment horizontal="center" vertical="center" wrapText="1"/>
    </xf>
    <xf numFmtId="0" fontId="85" fillId="0" borderId="0" xfId="192" applyFont="1" applyFill="1" applyBorder="1" applyAlignment="1" applyProtection="1">
      <alignment horizontal="center" vertical="center" wrapText="1"/>
    </xf>
    <xf numFmtId="0" fontId="56" fillId="0" borderId="0" xfId="192" applyFont="1" applyFill="1" applyAlignment="1" applyProtection="1">
      <alignment horizontal="center"/>
    </xf>
    <xf numFmtId="0" fontId="56" fillId="0" borderId="0" xfId="212" applyFont="1" applyFill="1" applyAlignment="1" applyProtection="1">
      <alignment horizontal="center" wrapText="1"/>
    </xf>
    <xf numFmtId="49" fontId="56" fillId="0" borderId="0" xfId="0" applyNumberFormat="1" applyFont="1" applyFill="1" applyAlignment="1" applyProtection="1">
      <alignment horizontal="center"/>
    </xf>
    <xf numFmtId="0" fontId="85" fillId="0" borderId="0" xfId="192" applyFont="1" applyFill="1" applyBorder="1" applyAlignment="1" applyProtection="1">
      <alignment horizontal="center"/>
    </xf>
    <xf numFmtId="0" fontId="56" fillId="0" borderId="0" xfId="192" applyFont="1" applyFill="1" applyAlignment="1" applyProtection="1">
      <alignment horizontal="center" wrapText="1"/>
    </xf>
    <xf numFmtId="172" fontId="56" fillId="0" borderId="0" xfId="0" applyFont="1" applyFill="1" applyAlignment="1" applyProtection="1">
      <alignment horizontal="center" wrapText="1"/>
    </xf>
    <xf numFmtId="172" fontId="86" fillId="0" borderId="0" xfId="0" applyFont="1" applyFill="1" applyAlignment="1" applyProtection="1">
      <alignment horizontal="center"/>
    </xf>
    <xf numFmtId="172" fontId="86" fillId="0" borderId="0" xfId="0" applyFont="1" applyFill="1" applyBorder="1" applyAlignment="1" applyProtection="1">
      <alignment horizontal="center"/>
    </xf>
    <xf numFmtId="0" fontId="56" fillId="0" borderId="0" xfId="192" applyFont="1" applyFill="1" applyAlignment="1" applyProtection="1">
      <alignment wrapText="1"/>
    </xf>
    <xf numFmtId="0" fontId="56" fillId="0" borderId="3" xfId="192" applyFont="1" applyFill="1" applyBorder="1" applyProtection="1"/>
    <xf numFmtId="174" fontId="56" fillId="0" borderId="3" xfId="93" applyNumberFormat="1" applyFont="1" applyFill="1" applyBorder="1" applyProtection="1"/>
    <xf numFmtId="174" fontId="85" fillId="0" borderId="0" xfId="93" applyNumberFormat="1" applyFont="1" applyFill="1" applyBorder="1" applyProtection="1"/>
    <xf numFmtId="0" fontId="56" fillId="0" borderId="0" xfId="192" applyFont="1" applyFill="1" applyProtection="1"/>
    <xf numFmtId="0" fontId="85" fillId="0" borderId="0" xfId="192" applyFont="1" applyFill="1" applyBorder="1" applyProtection="1"/>
    <xf numFmtId="0" fontId="56" fillId="0" borderId="0" xfId="192" applyFont="1" applyFill="1" applyBorder="1" applyProtection="1"/>
    <xf numFmtId="174" fontId="56" fillId="0" borderId="0" xfId="93" applyNumberFormat="1" applyFont="1" applyFill="1" applyBorder="1" applyProtection="1"/>
    <xf numFmtId="0" fontId="85" fillId="0" borderId="0" xfId="192" applyFont="1" applyFill="1" applyProtection="1"/>
    <xf numFmtId="49" fontId="101" fillId="0" borderId="0" xfId="0" applyNumberFormat="1" applyFont="1" applyFill="1" applyAlignment="1" applyProtection="1">
      <alignment horizontal="center"/>
    </xf>
    <xf numFmtId="0" fontId="46" fillId="0" borderId="0" xfId="192" applyFont="1" applyFill="1" applyProtection="1"/>
    <xf numFmtId="172" fontId="46" fillId="0" borderId="0" xfId="0" applyFont="1" applyFill="1" applyAlignment="1" applyProtection="1">
      <alignment horizontal="center" vertical="center"/>
    </xf>
    <xf numFmtId="1" fontId="56" fillId="0" borderId="0" xfId="0" applyNumberFormat="1" applyFont="1" applyFill="1" applyAlignment="1" applyProtection="1">
      <alignment horizontal="center"/>
    </xf>
    <xf numFmtId="3" fontId="56" fillId="0" borderId="0" xfId="0" applyNumberFormat="1" applyFont="1" applyFill="1" applyAlignment="1" applyProtection="1"/>
    <xf numFmtId="3" fontId="56" fillId="0" borderId="8" xfId="0" applyNumberFormat="1" applyFont="1" applyFill="1" applyBorder="1" applyAlignment="1" applyProtection="1">
      <alignment horizontal="center"/>
    </xf>
    <xf numFmtId="3" fontId="56" fillId="0" borderId="0" xfId="211" applyNumberFormat="1" applyFont="1" applyFill="1" applyBorder="1" applyAlignment="1" applyProtection="1">
      <alignment horizontal="center"/>
    </xf>
    <xf numFmtId="43" fontId="56" fillId="0" borderId="0" xfId="192" applyNumberFormat="1" applyFont="1" applyFill="1" applyProtection="1"/>
    <xf numFmtId="0" fontId="56" fillId="0" borderId="0" xfId="0" applyNumberFormat="1" applyFont="1" applyFill="1" applyProtection="1"/>
    <xf numFmtId="3" fontId="56" fillId="0" borderId="0" xfId="0" applyNumberFormat="1" applyFont="1" applyFill="1" applyAlignment="1" applyProtection="1">
      <alignment horizontal="center"/>
    </xf>
    <xf numFmtId="10" fontId="56" fillId="0" borderId="8" xfId="266" applyNumberFormat="1" applyFont="1" applyFill="1" applyBorder="1" applyAlignment="1" applyProtection="1"/>
    <xf numFmtId="172" fontId="56" fillId="0" borderId="8" xfId="0" applyFont="1" applyFill="1" applyBorder="1" applyAlignment="1" applyProtection="1"/>
    <xf numFmtId="49" fontId="56" fillId="0" borderId="0" xfId="0" applyNumberFormat="1" applyFont="1" applyFill="1" applyAlignment="1" applyProtection="1">
      <alignment horizontal="center" vertical="center"/>
    </xf>
    <xf numFmtId="172" fontId="56" fillId="0" borderId="0" xfId="764" applyFont="1" applyFill="1" applyAlignment="1" applyProtection="1"/>
    <xf numFmtId="0" fontId="52" fillId="0" borderId="0" xfId="184" applyFont="1" applyFill="1" applyProtection="1"/>
    <xf numFmtId="0" fontId="52" fillId="0" borderId="0" xfId="184" applyFont="1" applyFill="1" applyAlignment="1" applyProtection="1">
      <alignment horizontal="center"/>
    </xf>
    <xf numFmtId="0" fontId="52" fillId="0" borderId="0" xfId="59" applyNumberFormat="1" applyFont="1" applyFill="1" applyAlignment="1" applyProtection="1">
      <alignment horizontal="center"/>
    </xf>
    <xf numFmtId="172" fontId="107" fillId="0" borderId="0" xfId="0" applyFont="1" applyFill="1" applyProtection="1"/>
    <xf numFmtId="172" fontId="52" fillId="0" borderId="0" xfId="0" applyFont="1" applyFill="1" applyProtection="1"/>
    <xf numFmtId="0" fontId="52" fillId="0" borderId="0" xfId="184" applyFont="1" applyFill="1" applyAlignment="1" applyProtection="1"/>
    <xf numFmtId="172" fontId="52" fillId="0" borderId="0" xfId="0" applyFont="1" applyFill="1" applyAlignment="1" applyProtection="1">
      <alignment horizontal="left"/>
    </xf>
    <xf numFmtId="173" fontId="52" fillId="0" borderId="0" xfId="59" applyNumberFormat="1" applyFont="1" applyFill="1" applyAlignment="1" applyProtection="1">
      <alignment wrapText="1"/>
    </xf>
    <xf numFmtId="173" fontId="52" fillId="0" borderId="0" xfId="59" applyNumberFormat="1" applyFont="1" applyFill="1" applyBorder="1" applyAlignment="1" applyProtection="1">
      <alignment wrapText="1"/>
    </xf>
    <xf numFmtId="0" fontId="52" fillId="0" borderId="0" xfId="184" applyFont="1" applyFill="1" applyAlignment="1" applyProtection="1">
      <alignment horizontal="left" vertical="center" wrapText="1"/>
    </xf>
    <xf numFmtId="0" fontId="106" fillId="0" borderId="0" xfId="184" applyFont="1" applyFill="1" applyProtection="1"/>
    <xf numFmtId="0" fontId="52" fillId="0" borderId="0" xfId="184" applyFont="1" applyFill="1" applyAlignment="1" applyProtection="1">
      <alignment horizontal="left" wrapText="1"/>
    </xf>
    <xf numFmtId="172" fontId="52" fillId="0" borderId="0" xfId="0" applyFont="1" applyFill="1" applyAlignment="1" applyProtection="1">
      <alignment horizontal="left" vertical="center"/>
    </xf>
    <xf numFmtId="172" fontId="52" fillId="0" borderId="0" xfId="0" applyFont="1" applyFill="1" applyAlignment="1" applyProtection="1">
      <alignment horizontal="left" vertical="center" wrapText="1"/>
    </xf>
    <xf numFmtId="173" fontId="52" fillId="0" borderId="0" xfId="59" applyNumberFormat="1" applyFont="1" applyFill="1" applyAlignment="1" applyProtection="1">
      <alignment vertical="center" wrapText="1"/>
    </xf>
    <xf numFmtId="172" fontId="52" fillId="0" borderId="0" xfId="0" applyFont="1" applyFill="1" applyAlignment="1" applyProtection="1">
      <alignment horizontal="left" wrapText="1"/>
    </xf>
    <xf numFmtId="174" fontId="52" fillId="0" borderId="0" xfId="0" applyNumberFormat="1" applyFont="1" applyFill="1" applyProtection="1"/>
    <xf numFmtId="173" fontId="52" fillId="0" borderId="0" xfId="397" applyNumberFormat="1" applyFont="1" applyFill="1" applyAlignment="1" applyProtection="1">
      <alignment wrapText="1"/>
    </xf>
    <xf numFmtId="172" fontId="110" fillId="0" borderId="0" xfId="0" applyFont="1" applyFill="1" applyAlignment="1" applyProtection="1">
      <alignment wrapText="1"/>
    </xf>
    <xf numFmtId="173" fontId="52" fillId="0" borderId="0" xfId="59" applyNumberFormat="1" applyFont="1" applyFill="1" applyBorder="1" applyAlignment="1" applyProtection="1"/>
    <xf numFmtId="172" fontId="108" fillId="0" borderId="0" xfId="0" applyFont="1" applyFill="1" applyAlignment="1" applyProtection="1"/>
    <xf numFmtId="0" fontId="52" fillId="0" borderId="0" xfId="184" applyFont="1" applyFill="1" applyAlignment="1" applyProtection="1">
      <alignment vertical="center" wrapText="1"/>
    </xf>
    <xf numFmtId="0" fontId="52" fillId="0" borderId="0" xfId="59" applyNumberFormat="1" applyFont="1" applyFill="1" applyAlignment="1" applyProtection="1">
      <alignment horizontal="center" vertical="top"/>
    </xf>
    <xf numFmtId="172" fontId="52" fillId="0" borderId="0" xfId="0" applyFont="1" applyFill="1" applyAlignment="1" applyProtection="1">
      <alignment wrapText="1"/>
    </xf>
    <xf numFmtId="172" fontId="52" fillId="0" borderId="0" xfId="0" applyFont="1" applyFill="1" applyAlignment="1" applyProtection="1">
      <alignment vertical="center" wrapText="1"/>
    </xf>
    <xf numFmtId="172" fontId="52" fillId="0" borderId="0" xfId="0" applyFont="1" applyFill="1" applyAlignment="1" applyProtection="1">
      <alignment horizontal="center" vertical="center"/>
    </xf>
    <xf numFmtId="173" fontId="52" fillId="0" borderId="0" xfId="0" applyNumberFormat="1" applyFont="1" applyFill="1" applyProtection="1"/>
    <xf numFmtId="0" fontId="106" fillId="0" borderId="0" xfId="59" applyNumberFormat="1" applyFont="1" applyFill="1" applyAlignment="1" applyProtection="1">
      <alignment horizontal="center"/>
    </xf>
    <xf numFmtId="173" fontId="106" fillId="0" borderId="0" xfId="59" applyNumberFormat="1" applyFont="1" applyFill="1" applyAlignment="1" applyProtection="1"/>
    <xf numFmtId="0" fontId="52" fillId="0" borderId="0" xfId="184" applyFont="1" applyFill="1" applyAlignment="1" applyProtection="1">
      <alignment horizontal="center" wrapText="1"/>
    </xf>
    <xf numFmtId="173" fontId="52" fillId="0" borderId="0" xfId="184" applyNumberFormat="1" applyFont="1" applyFill="1" applyProtection="1"/>
    <xf numFmtId="10" fontId="52" fillId="0" borderId="0" xfId="184" applyNumberFormat="1" applyFont="1" applyFill="1" applyProtection="1"/>
    <xf numFmtId="174" fontId="52" fillId="0" borderId="0" xfId="93" applyNumberFormat="1" applyFont="1" applyFill="1" applyAlignment="1" applyProtection="1"/>
    <xf numFmtId="174" fontId="52" fillId="0" borderId="0" xfId="93" applyNumberFormat="1" applyFont="1" applyFill="1" applyProtection="1"/>
    <xf numFmtId="0" fontId="52" fillId="0" borderId="9" xfId="184" applyFont="1" applyFill="1" applyBorder="1" applyProtection="1"/>
    <xf numFmtId="0" fontId="52" fillId="0" borderId="9" xfId="184" applyFont="1" applyFill="1" applyBorder="1" applyAlignment="1" applyProtection="1">
      <alignment horizontal="center" wrapText="1"/>
    </xf>
    <xf numFmtId="0" fontId="52" fillId="0" borderId="9" xfId="184" applyFont="1" applyFill="1" applyBorder="1" applyAlignment="1" applyProtection="1">
      <alignment horizontal="center"/>
    </xf>
    <xf numFmtId="174" fontId="52" fillId="0" borderId="9" xfId="93" applyNumberFormat="1" applyFont="1" applyFill="1" applyBorder="1" applyAlignment="1" applyProtection="1"/>
    <xf numFmtId="174" fontId="52" fillId="0" borderId="9" xfId="93" applyNumberFormat="1" applyFont="1" applyFill="1" applyBorder="1" applyProtection="1"/>
    <xf numFmtId="174" fontId="52" fillId="0" borderId="9" xfId="184" applyNumberFormat="1" applyFont="1" applyFill="1" applyBorder="1" applyProtection="1"/>
    <xf numFmtId="173" fontId="52" fillId="0" borderId="9" xfId="59" applyNumberFormat="1" applyFont="1" applyFill="1" applyBorder="1" applyAlignment="1" applyProtection="1"/>
    <xf numFmtId="173" fontId="52" fillId="0" borderId="9" xfId="184" applyNumberFormat="1" applyFont="1" applyFill="1" applyBorder="1" applyProtection="1"/>
    <xf numFmtId="173" fontId="52" fillId="0" borderId="9" xfId="59" applyNumberFormat="1" applyFont="1" applyFill="1" applyBorder="1" applyProtection="1"/>
    <xf numFmtId="0" fontId="52" fillId="0" borderId="9" xfId="184" applyFont="1" applyFill="1" applyBorder="1" applyAlignment="1" applyProtection="1">
      <alignment horizontal="left" indent="2"/>
    </xf>
    <xf numFmtId="0" fontId="52" fillId="0" borderId="9" xfId="184" applyFont="1" applyFill="1" applyBorder="1" applyAlignment="1" applyProtection="1">
      <alignment horizontal="right"/>
    </xf>
    <xf numFmtId="9" fontId="52" fillId="0" borderId="9" xfId="184" applyNumberFormat="1" applyFont="1" applyFill="1" applyBorder="1" applyProtection="1"/>
    <xf numFmtId="10" fontId="52" fillId="0" borderId="9" xfId="184" applyNumberFormat="1" applyFont="1" applyFill="1" applyBorder="1" applyProtection="1"/>
    <xf numFmtId="9" fontId="52" fillId="0" borderId="0" xfId="184" applyNumberFormat="1" applyFont="1" applyFill="1" applyProtection="1"/>
    <xf numFmtId="9" fontId="52" fillId="14" borderId="0" xfId="184" applyNumberFormat="1" applyFont="1" applyFill="1" applyProtection="1">
      <protection locked="0"/>
    </xf>
    <xf numFmtId="0" fontId="106" fillId="0" borderId="0" xfId="212" applyFont="1" applyFill="1" applyAlignment="1" applyProtection="1">
      <alignment horizontal="center"/>
    </xf>
    <xf numFmtId="0" fontId="106" fillId="0" borderId="0" xfId="212" applyFont="1" applyFill="1" applyAlignment="1" applyProtection="1">
      <alignment horizontal="center" wrapText="1"/>
    </xf>
    <xf numFmtId="172" fontId="52" fillId="0" borderId="0" xfId="0" applyFont="1" applyFill="1" applyAlignment="1" applyProtection="1">
      <alignment horizontal="center" wrapText="1"/>
    </xf>
    <xf numFmtId="1" fontId="52" fillId="0" borderId="1" xfId="0" applyNumberFormat="1" applyFont="1" applyFill="1" applyBorder="1" applyAlignment="1" applyProtection="1">
      <alignment horizontal="center"/>
    </xf>
    <xf numFmtId="172" fontId="52" fillId="0" borderId="1" xfId="0" applyFont="1" applyFill="1" applyBorder="1" applyProtection="1"/>
    <xf numFmtId="0" fontId="106" fillId="0" borderId="0" xfId="399" applyFont="1" applyFill="1" applyBorder="1" applyAlignment="1" applyProtection="1">
      <alignment horizontal="center"/>
    </xf>
    <xf numFmtId="0" fontId="52" fillId="0" borderId="0" xfId="59" applyNumberFormat="1" applyFont="1" applyFill="1" applyAlignment="1" applyProtection="1">
      <alignment horizontal="left"/>
    </xf>
    <xf numFmtId="1" fontId="52" fillId="0" borderId="0" xfId="399" applyNumberFormat="1" applyFont="1" applyFill="1" applyBorder="1" applyAlignment="1" applyProtection="1">
      <alignment horizontal="center"/>
    </xf>
    <xf numFmtId="173" fontId="52" fillId="0" borderId="1" xfId="399" applyNumberFormat="1" applyFont="1" applyFill="1" applyBorder="1" applyAlignment="1" applyProtection="1">
      <alignment horizontal="center"/>
    </xf>
    <xf numFmtId="275" fontId="52" fillId="0" borderId="0" xfId="399" applyNumberFormat="1" applyFont="1" applyFill="1" applyBorder="1" applyAlignment="1" applyProtection="1">
      <alignment horizontal="left"/>
    </xf>
    <xf numFmtId="276" fontId="52" fillId="0" borderId="0" xfId="399" applyNumberFormat="1" applyFont="1" applyFill="1" applyBorder="1" applyAlignment="1" applyProtection="1">
      <alignment horizontal="center"/>
    </xf>
    <xf numFmtId="174" fontId="52" fillId="0" borderId="0" xfId="93" applyNumberFormat="1" applyFont="1" applyFill="1" applyBorder="1" applyProtection="1"/>
    <xf numFmtId="173" fontId="52" fillId="0" borderId="0" xfId="59" applyNumberFormat="1" applyFont="1" applyFill="1" applyBorder="1" applyProtection="1"/>
    <xf numFmtId="276" fontId="52" fillId="0" borderId="0" xfId="0" applyNumberFormat="1" applyFont="1" applyFill="1" applyAlignment="1" applyProtection="1">
      <alignment horizontal="center"/>
    </xf>
    <xf numFmtId="0" fontId="52" fillId="0" borderId="0" xfId="399" applyFont="1" applyFill="1" applyBorder="1" applyAlignment="1" applyProtection="1">
      <alignment horizontal="left"/>
    </xf>
    <xf numFmtId="172" fontId="106" fillId="0" borderId="0" xfId="0" applyFont="1" applyFill="1" applyProtection="1"/>
    <xf numFmtId="174" fontId="52" fillId="0" borderId="7" xfId="93" applyNumberFormat="1" applyFont="1" applyFill="1" applyBorder="1" applyAlignment="1" applyProtection="1"/>
    <xf numFmtId="277" fontId="52" fillId="0" borderId="7" xfId="93" applyNumberFormat="1" applyFont="1" applyFill="1" applyBorder="1" applyAlignment="1" applyProtection="1"/>
    <xf numFmtId="172" fontId="52" fillId="0" borderId="0" xfId="0" applyFont="1" applyFill="1" applyAlignment="1" applyProtection="1">
      <alignment horizontal="right"/>
    </xf>
    <xf numFmtId="10" fontId="52" fillId="0" borderId="0" xfId="266" applyNumberFormat="1" applyFont="1" applyFill="1" applyProtection="1"/>
    <xf numFmtId="173" fontId="52" fillId="0" borderId="0" xfId="59" applyNumberFormat="1" applyFont="1" applyFill="1" applyProtection="1"/>
    <xf numFmtId="169" fontId="52" fillId="0" borderId="0" xfId="0" applyNumberFormat="1" applyFont="1" applyFill="1" applyAlignment="1" applyProtection="1"/>
    <xf numFmtId="173" fontId="52" fillId="0" borderId="0" xfId="59" quotePrefix="1" applyNumberFormat="1" applyFont="1" applyFill="1" applyAlignment="1" applyProtection="1">
      <alignment horizontal="left"/>
    </xf>
    <xf numFmtId="172" fontId="52" fillId="0" borderId="8" xfId="0" applyFont="1" applyFill="1" applyBorder="1" applyAlignment="1" applyProtection="1"/>
    <xf numFmtId="172" fontId="52" fillId="0" borderId="0" xfId="0" applyFont="1" applyProtection="1"/>
    <xf numFmtId="172" fontId="106" fillId="0" borderId="0" xfId="0" applyFont="1" applyFill="1" applyAlignment="1" applyProtection="1">
      <alignment horizontal="center"/>
    </xf>
    <xf numFmtId="172" fontId="106" fillId="0" borderId="0" xfId="0" applyFont="1" applyProtection="1"/>
    <xf numFmtId="172" fontId="52" fillId="0" borderId="0" xfId="0" applyFont="1" applyAlignment="1" applyProtection="1">
      <alignment horizontal="center"/>
    </xf>
    <xf numFmtId="172" fontId="106" fillId="0" borderId="0" xfId="0" applyFont="1" applyBorder="1" applyAlignment="1" applyProtection="1">
      <alignment horizontal="center"/>
    </xf>
    <xf numFmtId="0" fontId="52" fillId="0" borderId="0" xfId="0" applyNumberFormat="1" applyFont="1" applyAlignment="1" applyProtection="1">
      <alignment horizontal="center"/>
    </xf>
    <xf numFmtId="172" fontId="52" fillId="0" borderId="0" xfId="0" applyFont="1" applyAlignment="1" applyProtection="1">
      <alignment horizontal="right"/>
    </xf>
    <xf numFmtId="37" fontId="52" fillId="0" borderId="0" xfId="0" applyNumberFormat="1" applyFont="1" applyAlignment="1" applyProtection="1">
      <alignment horizontal="right" wrapText="1"/>
    </xf>
    <xf numFmtId="172" fontId="52" fillId="0" borderId="0" xfId="0" applyFont="1" applyAlignment="1" applyProtection="1">
      <alignment horizontal="right" wrapText="1"/>
    </xf>
    <xf numFmtId="0" fontId="106" fillId="0" borderId="0" xfId="0" applyNumberFormat="1" applyFont="1" applyFill="1" applyBorder="1" applyAlignment="1" applyProtection="1">
      <alignment horizontal="center"/>
    </xf>
    <xf numFmtId="37" fontId="52" fillId="0" borderId="0" xfId="0" applyNumberFormat="1" applyFont="1" applyFill="1" applyAlignment="1" applyProtection="1">
      <alignment horizontal="right"/>
    </xf>
    <xf numFmtId="37" fontId="52" fillId="0" borderId="0" xfId="0" applyNumberFormat="1" applyFont="1" applyAlignment="1" applyProtection="1">
      <alignment horizontal="right"/>
    </xf>
    <xf numFmtId="0" fontId="52" fillId="0" borderId="0" xfId="0" applyNumberFormat="1" applyFont="1" applyFill="1" applyBorder="1" applyAlignment="1" applyProtection="1">
      <alignment horizontal="left"/>
    </xf>
    <xf numFmtId="172" fontId="106" fillId="0" borderId="0" xfId="0" applyFont="1" applyFill="1" applyBorder="1" applyProtection="1"/>
    <xf numFmtId="37" fontId="106" fillId="0" borderId="0" xfId="0" applyNumberFormat="1" applyFont="1" applyFill="1" applyProtection="1"/>
    <xf numFmtId="41" fontId="52" fillId="0" borderId="0" xfId="0" applyNumberFormat="1" applyFont="1" applyFill="1" applyBorder="1" applyAlignment="1" applyProtection="1">
      <alignment horizontal="right"/>
    </xf>
    <xf numFmtId="37" fontId="52" fillId="0" borderId="0" xfId="0" applyNumberFormat="1" applyFont="1" applyFill="1" applyProtection="1"/>
    <xf numFmtId="41" fontId="118" fillId="0" borderId="0" xfId="0" applyNumberFormat="1" applyFont="1" applyFill="1" applyBorder="1" applyAlignment="1" applyProtection="1">
      <alignment horizontal="left"/>
    </xf>
    <xf numFmtId="172" fontId="108" fillId="0" borderId="0" xfId="0" applyFont="1" applyFill="1" applyProtection="1"/>
    <xf numFmtId="37" fontId="52" fillId="0" borderId="0" xfId="0" applyNumberFormat="1" applyFont="1" applyFill="1" applyAlignment="1" applyProtection="1">
      <alignment horizontal="right" wrapText="1"/>
    </xf>
    <xf numFmtId="37" fontId="52" fillId="14" borderId="0" xfId="0" applyNumberFormat="1" applyFont="1" applyFill="1" applyProtection="1">
      <protection locked="0"/>
    </xf>
    <xf numFmtId="173" fontId="52" fillId="14" borderId="0" xfId="59" applyNumberFormat="1" applyFont="1" applyFill="1" applyAlignment="1" applyProtection="1">
      <alignment horizontal="right"/>
      <protection locked="0"/>
    </xf>
    <xf numFmtId="0" fontId="46" fillId="0" borderId="0" xfId="383" applyNumberFormat="1" applyFont="1" applyFill="1" applyAlignment="1" applyProtection="1">
      <alignment horizontal="center"/>
    </xf>
    <xf numFmtId="0" fontId="46" fillId="0" borderId="0" xfId="383" applyFont="1" applyFill="1" applyBorder="1" applyAlignment="1" applyProtection="1">
      <alignment horizontal="center"/>
    </xf>
    <xf numFmtId="274" fontId="46" fillId="0" borderId="0" xfId="266" applyNumberFormat="1" applyFont="1" applyFill="1" applyBorder="1" applyAlignment="1" applyProtection="1">
      <alignment horizontal="center"/>
    </xf>
    <xf numFmtId="1" fontId="46" fillId="0" borderId="0" xfId="201" applyNumberFormat="1" applyFont="1" applyFill="1" applyAlignment="1" applyProtection="1">
      <alignment horizontal="left"/>
    </xf>
    <xf numFmtId="172" fontId="122" fillId="0" borderId="0" xfId="201" quotePrefix="1" applyFont="1" applyFill="1" applyAlignment="1" applyProtection="1">
      <alignment horizontal="left"/>
    </xf>
    <xf numFmtId="172" fontId="97" fillId="0" borderId="0" xfId="201" applyFont="1" applyFill="1" applyAlignment="1" applyProtection="1"/>
    <xf numFmtId="0" fontId="77" fillId="0" borderId="0" xfId="383" applyFont="1" applyFill="1" applyAlignment="1" applyProtection="1">
      <alignment horizontal="center" wrapText="1"/>
    </xf>
    <xf numFmtId="0" fontId="77" fillId="0" borderId="0" xfId="383" applyFont="1" applyFill="1" applyBorder="1" applyAlignment="1" applyProtection="1">
      <alignment horizontal="center" wrapText="1"/>
    </xf>
    <xf numFmtId="172" fontId="46" fillId="0" borderId="0" xfId="201" applyFont="1" applyFill="1" applyAlignment="1" applyProtection="1"/>
    <xf numFmtId="43" fontId="46" fillId="0" borderId="0" xfId="59" applyFont="1" applyFill="1" applyAlignment="1" applyProtection="1"/>
    <xf numFmtId="10" fontId="123" fillId="0" borderId="0" xfId="383" applyNumberFormat="1" applyFont="1" applyFill="1" applyBorder="1" applyProtection="1"/>
    <xf numFmtId="43" fontId="77" fillId="0" borderId="0" xfId="59" applyFont="1" applyFill="1" applyBorder="1" applyProtection="1"/>
    <xf numFmtId="0" fontId="77" fillId="0" borderId="0" xfId="383" applyFont="1" applyFill="1" applyBorder="1" applyProtection="1"/>
    <xf numFmtId="0" fontId="46" fillId="0" borderId="0" xfId="383" applyNumberFormat="1" applyFont="1" applyFill="1" applyBorder="1" applyAlignment="1" applyProtection="1">
      <alignment horizontal="center"/>
    </xf>
    <xf numFmtId="0" fontId="77" fillId="0" borderId="0" xfId="383" applyFont="1" applyFill="1" applyBorder="1" applyAlignment="1" applyProtection="1">
      <alignment horizontal="center"/>
    </xf>
    <xf numFmtId="10" fontId="77" fillId="0" borderId="0" xfId="383" applyNumberFormat="1" applyFont="1" applyFill="1" applyBorder="1" applyProtection="1"/>
    <xf numFmtId="172" fontId="46" fillId="0" borderId="0" xfId="201" quotePrefix="1" applyFont="1" applyFill="1" applyBorder="1" applyAlignment="1" applyProtection="1">
      <alignment horizontal="left"/>
    </xf>
    <xf numFmtId="43" fontId="46" fillId="0" borderId="0" xfId="59" applyFont="1" applyFill="1" applyBorder="1" applyAlignment="1" applyProtection="1"/>
    <xf numFmtId="0" fontId="124" fillId="0" borderId="0" xfId="383" applyFont="1" applyFill="1" applyBorder="1" applyProtection="1"/>
    <xf numFmtId="172" fontId="46" fillId="0" borderId="0" xfId="201" applyFont="1" applyFill="1" applyAlignment="1" applyProtection="1">
      <alignment horizontal="left"/>
    </xf>
    <xf numFmtId="182" fontId="46" fillId="0" borderId="0" xfId="59" applyNumberFormat="1" applyFont="1" applyFill="1" applyAlignment="1" applyProtection="1"/>
    <xf numFmtId="172" fontId="46" fillId="0" borderId="8" xfId="201" applyFont="1" applyFill="1" applyBorder="1" applyAlignment="1" applyProtection="1"/>
    <xf numFmtId="172" fontId="46" fillId="0" borderId="0" xfId="201" applyFont="1" applyFill="1" applyAlignment="1" applyProtection="1">
      <alignment horizontal="center"/>
    </xf>
    <xf numFmtId="0" fontId="77" fillId="0" borderId="0" xfId="383" applyFont="1" applyFill="1" applyProtection="1"/>
    <xf numFmtId="172" fontId="56" fillId="0" borderId="0" xfId="0" applyFont="1" applyFill="1" applyBorder="1" applyAlignment="1" applyProtection="1">
      <alignment horizontal="center"/>
    </xf>
    <xf numFmtId="172" fontId="56" fillId="0" borderId="3" xfId="0" applyFont="1" applyFill="1" applyBorder="1" applyAlignment="1" applyProtection="1">
      <alignment horizontal="center"/>
    </xf>
    <xf numFmtId="172" fontId="56" fillId="0" borderId="20" xfId="0" applyFont="1" applyFill="1" applyBorder="1" applyAlignment="1" applyProtection="1">
      <alignment horizontal="center"/>
    </xf>
    <xf numFmtId="172" fontId="56" fillId="0" borderId="10" xfId="0" applyFont="1" applyFill="1" applyBorder="1" applyProtection="1"/>
    <xf numFmtId="172" fontId="56" fillId="0" borderId="12" xfId="201" applyFont="1" applyFill="1" applyBorder="1" applyAlignment="1" applyProtection="1"/>
    <xf numFmtId="172" fontId="56" fillId="0" borderId="12" xfId="0" applyFont="1" applyFill="1" applyBorder="1" applyAlignment="1" applyProtection="1">
      <alignment horizontal="center"/>
    </xf>
    <xf numFmtId="172" fontId="56" fillId="0" borderId="0" xfId="201" applyFont="1" applyFill="1" applyBorder="1" applyAlignment="1" applyProtection="1">
      <alignment horizontal="center" wrapText="1"/>
    </xf>
    <xf numFmtId="172" fontId="56" fillId="0" borderId="0" xfId="0" applyFont="1" applyFill="1" applyBorder="1" applyAlignment="1" applyProtection="1">
      <alignment horizontal="center" wrapText="1"/>
    </xf>
    <xf numFmtId="172" fontId="56" fillId="0" borderId="12" xfId="201" applyFont="1" applyFill="1" applyBorder="1" applyAlignment="1" applyProtection="1">
      <alignment horizontal="center"/>
    </xf>
    <xf numFmtId="172" fontId="56" fillId="0" borderId="12" xfId="0" applyFont="1" applyFill="1" applyBorder="1" applyAlignment="1" applyProtection="1">
      <alignment horizontal="center" wrapText="1"/>
    </xf>
    <xf numFmtId="43" fontId="56" fillId="0" borderId="0" xfId="59" applyFont="1" applyFill="1" applyBorder="1" applyProtection="1"/>
    <xf numFmtId="173" fontId="56" fillId="0" borderId="12" xfId="59" applyNumberFormat="1" applyFont="1" applyFill="1" applyBorder="1" applyProtection="1"/>
    <xf numFmtId="273" fontId="56" fillId="0" borderId="0" xfId="59" applyNumberFormat="1" applyFont="1" applyFill="1" applyBorder="1" applyAlignment="1" applyProtection="1"/>
    <xf numFmtId="43" fontId="56" fillId="0" borderId="12" xfId="59" applyFont="1" applyFill="1" applyBorder="1" applyProtection="1"/>
    <xf numFmtId="172" fontId="56" fillId="0" borderId="17" xfId="0" applyFont="1" applyFill="1" applyBorder="1" applyProtection="1"/>
    <xf numFmtId="172" fontId="56" fillId="0" borderId="1" xfId="0" applyFont="1" applyFill="1" applyBorder="1" applyProtection="1"/>
    <xf numFmtId="43" fontId="56" fillId="0" borderId="1" xfId="59" applyFont="1" applyFill="1" applyBorder="1" applyProtection="1"/>
    <xf numFmtId="43" fontId="56" fillId="0" borderId="21" xfId="59" applyFont="1" applyFill="1" applyBorder="1" applyProtection="1"/>
    <xf numFmtId="10" fontId="56" fillId="0" borderId="0" xfId="266" applyNumberFormat="1" applyFont="1" applyFill="1" applyBorder="1" applyProtection="1"/>
    <xf numFmtId="172" fontId="106" fillId="0" borderId="0" xfId="201" applyFont="1" applyFill="1" applyAlignment="1" applyProtection="1"/>
    <xf numFmtId="172" fontId="52" fillId="0" borderId="0" xfId="201" applyFont="1" applyFill="1" applyAlignment="1" applyProtection="1">
      <alignment horizontal="center"/>
    </xf>
    <xf numFmtId="172" fontId="52" fillId="0" borderId="0" xfId="0" applyFont="1" applyFill="1" applyBorder="1" applyAlignment="1" applyProtection="1"/>
    <xf numFmtId="172" fontId="107" fillId="0" borderId="0" xfId="0" applyFont="1" applyFill="1" applyAlignment="1" applyProtection="1"/>
    <xf numFmtId="0" fontId="52" fillId="0" borderId="0" xfId="187" applyFont="1" applyFill="1" applyBorder="1" applyAlignment="1" applyProtection="1">
      <alignment horizontal="center"/>
    </xf>
    <xf numFmtId="0" fontId="108" fillId="0" borderId="0" xfId="187" applyFont="1" applyFill="1" applyBorder="1" applyAlignment="1" applyProtection="1">
      <alignment horizontal="left"/>
    </xf>
    <xf numFmtId="0" fontId="52" fillId="0" borderId="0" xfId="187" applyFont="1" applyFill="1" applyBorder="1" applyAlignment="1" applyProtection="1"/>
    <xf numFmtId="49" fontId="52" fillId="0" borderId="0" xfId="187" applyNumberFormat="1" applyFont="1" applyFill="1" applyBorder="1" applyAlignment="1" applyProtection="1">
      <alignment horizontal="center"/>
    </xf>
    <xf numFmtId="0" fontId="52" fillId="0" borderId="0" xfId="187" applyFont="1" applyFill="1" applyBorder="1" applyProtection="1"/>
    <xf numFmtId="172" fontId="106" fillId="0" borderId="1" xfId="201" applyFont="1" applyFill="1" applyBorder="1" applyAlignment="1" applyProtection="1">
      <alignment horizontal="center" wrapText="1"/>
    </xf>
    <xf numFmtId="172" fontId="106" fillId="0" borderId="0" xfId="201" applyFont="1" applyFill="1" applyAlignment="1" applyProtection="1">
      <alignment horizontal="center" wrapText="1"/>
    </xf>
    <xf numFmtId="3" fontId="52" fillId="0" borderId="0" xfId="187" applyNumberFormat="1" applyFont="1" applyFill="1" applyBorder="1" applyAlignment="1" applyProtection="1"/>
    <xf numFmtId="0" fontId="52" fillId="0" borderId="0" xfId="204" applyFont="1" applyFill="1" applyBorder="1" applyAlignment="1" applyProtection="1"/>
    <xf numFmtId="173" fontId="52" fillId="0" borderId="1" xfId="59" applyNumberFormat="1" applyFont="1" applyFill="1" applyBorder="1" applyAlignment="1" applyProtection="1"/>
    <xf numFmtId="172" fontId="52" fillId="0" borderId="0" xfId="201" applyFont="1" applyFill="1" applyBorder="1" applyAlignment="1" applyProtection="1"/>
    <xf numFmtId="172" fontId="52" fillId="0" borderId="8" xfId="201" applyFont="1" applyFill="1" applyBorder="1" applyAlignment="1" applyProtection="1"/>
    <xf numFmtId="172" fontId="52" fillId="0" borderId="0" xfId="201" applyFont="1" applyFill="1" applyBorder="1" applyAlignment="1" applyProtection="1">
      <alignment horizontal="center" vertical="top"/>
    </xf>
    <xf numFmtId="172" fontId="52" fillId="0" borderId="0" xfId="201" applyFont="1" applyFill="1" applyBorder="1" applyAlignment="1" applyProtection="1">
      <alignment horizontal="left"/>
    </xf>
    <xf numFmtId="172" fontId="52" fillId="0" borderId="0" xfId="201" applyFont="1" applyFill="1" applyBorder="1" applyAlignment="1" applyProtection="1">
      <alignment vertical="top"/>
    </xf>
    <xf numFmtId="0" fontId="52" fillId="0" borderId="0" xfId="0" applyNumberFormat="1" applyFont="1" applyFill="1" applyAlignment="1" applyProtection="1">
      <alignment horizontal="center" vertical="center"/>
    </xf>
    <xf numFmtId="9" fontId="52" fillId="0" borderId="0" xfId="266" applyFont="1" applyFill="1" applyAlignment="1" applyProtection="1"/>
    <xf numFmtId="172" fontId="52" fillId="0" borderId="0" xfId="0" applyFont="1" applyAlignment="1" applyProtection="1"/>
    <xf numFmtId="0" fontId="46" fillId="0" borderId="0" xfId="0" applyNumberFormat="1" applyFont="1" applyAlignment="1" applyProtection="1">
      <alignment horizontal="center"/>
    </xf>
    <xf numFmtId="172" fontId="46" fillId="0" borderId="0" xfId="0" applyFont="1" applyProtection="1"/>
    <xf numFmtId="173" fontId="46" fillId="0" borderId="0" xfId="59" applyNumberFormat="1" applyFont="1" applyProtection="1"/>
    <xf numFmtId="172" fontId="46" fillId="0" borderId="0" xfId="0" applyFont="1" applyBorder="1" applyProtection="1"/>
    <xf numFmtId="280" fontId="46" fillId="0" borderId="0" xfId="0" applyNumberFormat="1" applyFont="1" applyBorder="1" applyProtection="1"/>
    <xf numFmtId="0" fontId="46" fillId="0" borderId="0" xfId="398" applyFont="1" applyAlignment="1" applyProtection="1">
      <alignment horizontal="center"/>
    </xf>
    <xf numFmtId="43" fontId="46" fillId="0" borderId="0" xfId="59" applyFont="1" applyAlignment="1" applyProtection="1">
      <alignment horizontal="center"/>
    </xf>
    <xf numFmtId="10" fontId="46" fillId="0" borderId="0" xfId="266" applyNumberFormat="1" applyFont="1" applyAlignment="1" applyProtection="1">
      <alignment horizontal="center"/>
    </xf>
    <xf numFmtId="0" fontId="46" fillId="0" borderId="0" xfId="398" applyFont="1" applyProtection="1"/>
    <xf numFmtId="0" fontId="46" fillId="0" borderId="1" xfId="398" applyFont="1" applyBorder="1" applyAlignment="1" applyProtection="1">
      <alignment horizontal="center"/>
    </xf>
    <xf numFmtId="43" fontId="46" fillId="0" borderId="1" xfId="59" applyFont="1" applyBorder="1" applyAlignment="1" applyProtection="1">
      <alignment horizontal="center"/>
    </xf>
    <xf numFmtId="173" fontId="46" fillId="0" borderId="1" xfId="59" applyNumberFormat="1" applyFont="1" applyBorder="1" applyAlignment="1" applyProtection="1">
      <alignment horizontal="center"/>
    </xf>
    <xf numFmtId="0" fontId="113" fillId="0" borderId="0" xfId="398" applyFont="1" applyAlignment="1" applyProtection="1">
      <alignment horizontal="center" vertical="center"/>
    </xf>
    <xf numFmtId="0" fontId="114" fillId="0" borderId="0" xfId="398" applyFont="1" applyAlignment="1" applyProtection="1">
      <alignment horizontal="center" vertical="center"/>
    </xf>
    <xf numFmtId="43" fontId="114" fillId="0" borderId="0" xfId="59" applyFont="1" applyAlignment="1" applyProtection="1">
      <alignment horizontal="center" vertical="center"/>
    </xf>
    <xf numFmtId="10" fontId="114" fillId="0" borderId="0" xfId="266" applyNumberFormat="1" applyFont="1" applyAlignment="1" applyProtection="1">
      <alignment horizontal="center" vertical="center"/>
    </xf>
    <xf numFmtId="173" fontId="114" fillId="0" borderId="0" xfId="59" applyNumberFormat="1" applyFont="1" applyAlignment="1" applyProtection="1">
      <alignment horizontal="center" vertical="center"/>
    </xf>
    <xf numFmtId="0" fontId="97" fillId="0" borderId="0" xfId="398" applyFont="1" applyAlignment="1" applyProtection="1">
      <alignment horizontal="center" vertical="center"/>
    </xf>
    <xf numFmtId="0" fontId="46" fillId="0" borderId="0" xfId="398" applyFont="1" applyAlignment="1" applyProtection="1">
      <alignment horizontal="center" vertical="center"/>
    </xf>
    <xf numFmtId="43" fontId="46" fillId="0" borderId="0" xfId="59" applyFont="1" applyAlignment="1" applyProtection="1">
      <alignment horizontal="center" vertical="center"/>
    </xf>
    <xf numFmtId="10" fontId="46" fillId="0" borderId="0" xfId="266" applyNumberFormat="1" applyFont="1" applyAlignment="1" applyProtection="1">
      <alignment horizontal="center" vertical="center"/>
    </xf>
    <xf numFmtId="173" fontId="46" fillId="0" borderId="0" xfId="59" applyNumberFormat="1" applyFont="1" applyAlignment="1" applyProtection="1">
      <alignment horizontal="center" vertical="center"/>
    </xf>
    <xf numFmtId="0" fontId="46" fillId="0" borderId="0" xfId="398" applyFont="1" applyAlignment="1" applyProtection="1">
      <alignment horizontal="left"/>
    </xf>
    <xf numFmtId="0" fontId="46" fillId="0" borderId="0" xfId="398" applyFont="1" applyFill="1" applyAlignment="1" applyProtection="1">
      <alignment horizontal="center"/>
    </xf>
    <xf numFmtId="2" fontId="46" fillId="0" borderId="0" xfId="398" applyNumberFormat="1" applyFont="1" applyFill="1" applyAlignment="1" applyProtection="1">
      <alignment horizontal="center"/>
    </xf>
    <xf numFmtId="43" fontId="46" fillId="0" borderId="0" xfId="59" applyFont="1" applyFill="1" applyBorder="1" applyAlignment="1" applyProtection="1">
      <alignment horizontal="center"/>
    </xf>
    <xf numFmtId="173" fontId="97" fillId="0" borderId="4" xfId="59" applyNumberFormat="1" applyFont="1" applyBorder="1" applyAlignment="1" applyProtection="1">
      <alignment horizontal="center"/>
    </xf>
    <xf numFmtId="173" fontId="97" fillId="0" borderId="0" xfId="59" applyNumberFormat="1" applyFont="1" applyBorder="1" applyAlignment="1" applyProtection="1">
      <alignment horizontal="center"/>
    </xf>
    <xf numFmtId="0" fontId="97" fillId="0" borderId="0" xfId="398" applyFont="1" applyAlignment="1" applyProtection="1">
      <alignment horizontal="left" vertical="center"/>
    </xf>
    <xf numFmtId="177" fontId="115" fillId="0" borderId="0" xfId="59" applyNumberFormat="1" applyFont="1" applyFill="1" applyAlignment="1" applyProtection="1">
      <alignment horizontal="center"/>
    </xf>
    <xf numFmtId="173" fontId="97" fillId="0" borderId="0" xfId="59" applyNumberFormat="1" applyFont="1" applyFill="1" applyBorder="1" applyAlignment="1" applyProtection="1">
      <alignment horizontal="center"/>
    </xf>
    <xf numFmtId="173" fontId="115" fillId="0" borderId="0" xfId="59" applyNumberFormat="1" applyFont="1" applyFill="1" applyAlignment="1" applyProtection="1">
      <alignment horizontal="center"/>
    </xf>
    <xf numFmtId="173" fontId="115" fillId="0" borderId="0" xfId="59" applyNumberFormat="1" applyFont="1" applyBorder="1" applyAlignment="1" applyProtection="1">
      <alignment horizontal="center"/>
    </xf>
    <xf numFmtId="0" fontId="46" fillId="0" borderId="0" xfId="398" applyFont="1" applyAlignment="1" applyProtection="1">
      <alignment horizontal="left" indent="1"/>
    </xf>
    <xf numFmtId="0" fontId="46" fillId="0" borderId="0" xfId="398" applyFont="1" applyFill="1" applyAlignment="1" applyProtection="1">
      <alignment horizontal="right"/>
    </xf>
    <xf numFmtId="274" fontId="46" fillId="0" borderId="0" xfId="266" applyNumberFormat="1" applyFont="1" applyFill="1" applyAlignment="1" applyProtection="1">
      <alignment horizontal="center"/>
    </xf>
    <xf numFmtId="173" fontId="46" fillId="0" borderId="0" xfId="59" applyNumberFormat="1" applyFont="1" applyFill="1" applyProtection="1"/>
    <xf numFmtId="173" fontId="46" fillId="0" borderId="0" xfId="59" applyNumberFormat="1" applyFont="1" applyFill="1" applyBorder="1" applyProtection="1"/>
    <xf numFmtId="280" fontId="46" fillId="0" borderId="0" xfId="266" applyNumberFormat="1" applyFont="1" applyBorder="1" applyProtection="1"/>
    <xf numFmtId="173" fontId="46" fillId="0" borderId="0" xfId="59" applyNumberFormat="1" applyFont="1" applyFill="1" applyBorder="1" applyAlignment="1" applyProtection="1"/>
    <xf numFmtId="173" fontId="116" fillId="0" borderId="14" xfId="59" applyNumberFormat="1" applyFont="1" applyFill="1" applyBorder="1" applyAlignment="1" applyProtection="1"/>
    <xf numFmtId="172" fontId="115" fillId="0" borderId="0" xfId="0" applyFont="1" applyProtection="1"/>
    <xf numFmtId="173" fontId="116" fillId="0" borderId="0" xfId="59" applyNumberFormat="1" applyFont="1" applyFill="1" applyBorder="1" applyAlignment="1" applyProtection="1"/>
    <xf numFmtId="173" fontId="46" fillId="0" borderId="0" xfId="59" applyNumberFormat="1" applyFont="1" applyBorder="1" applyProtection="1"/>
    <xf numFmtId="274" fontId="115" fillId="0" borderId="0" xfId="59" applyNumberFormat="1" applyFont="1" applyFill="1" applyAlignment="1" applyProtection="1">
      <alignment horizontal="center"/>
    </xf>
    <xf numFmtId="173" fontId="46" fillId="0" borderId="0" xfId="59" applyNumberFormat="1" applyFont="1" applyFill="1" applyAlignment="1" applyProtection="1">
      <alignment vertical="center" wrapText="1"/>
    </xf>
    <xf numFmtId="173" fontId="46" fillId="0" borderId="0" xfId="59" applyNumberFormat="1" applyFont="1" applyFill="1" applyBorder="1" applyAlignment="1" applyProtection="1">
      <alignment vertical="center" wrapText="1"/>
    </xf>
    <xf numFmtId="3" fontId="46" fillId="0" borderId="0" xfId="0" applyNumberFormat="1" applyFont="1" applyProtection="1"/>
    <xf numFmtId="172" fontId="118" fillId="0" borderId="0" xfId="0" applyFont="1" applyProtection="1"/>
    <xf numFmtId="10" fontId="46" fillId="0" borderId="0" xfId="0" applyNumberFormat="1" applyFont="1" applyFill="1" applyAlignment="1" applyProtection="1">
      <alignment vertical="center" wrapText="1"/>
    </xf>
    <xf numFmtId="173" fontId="116" fillId="0" borderId="14" xfId="59" applyNumberFormat="1" applyFont="1" applyFill="1" applyBorder="1" applyAlignment="1" applyProtection="1">
      <alignment vertical="center" wrapText="1"/>
    </xf>
    <xf numFmtId="173" fontId="116" fillId="0" borderId="0" xfId="59" applyNumberFormat="1" applyFont="1" applyFill="1" applyBorder="1" applyAlignment="1" applyProtection="1">
      <alignment vertical="center" wrapText="1"/>
    </xf>
    <xf numFmtId="0" fontId="46" fillId="0" borderId="0" xfId="398" applyFont="1" applyFill="1" applyAlignment="1" applyProtection="1">
      <alignment horizontal="left"/>
    </xf>
    <xf numFmtId="0" fontId="46" fillId="0" borderId="0" xfId="398" applyFont="1" applyFill="1" applyAlignment="1" applyProtection="1">
      <alignment horizontal="left" indent="1"/>
    </xf>
    <xf numFmtId="10" fontId="46" fillId="0" borderId="0" xfId="0" applyNumberFormat="1" applyFont="1" applyFill="1" applyAlignment="1" applyProtection="1">
      <alignment horizontal="center"/>
    </xf>
    <xf numFmtId="172" fontId="119" fillId="0" borderId="0" xfId="0" applyFont="1" applyFill="1" applyAlignment="1" applyProtection="1">
      <alignment vertical="center" wrapText="1"/>
    </xf>
    <xf numFmtId="274" fontId="46" fillId="0" borderId="0" xfId="0" applyNumberFormat="1" applyFont="1" applyFill="1" applyAlignment="1" applyProtection="1">
      <alignment horizontal="center"/>
    </xf>
    <xf numFmtId="43" fontId="46" fillId="0" borderId="0" xfId="59" applyNumberFormat="1" applyFont="1" applyProtection="1"/>
    <xf numFmtId="274" fontId="46" fillId="0" borderId="0" xfId="0" applyNumberFormat="1" applyFont="1" applyAlignment="1" applyProtection="1">
      <alignment horizontal="center"/>
    </xf>
    <xf numFmtId="43" fontId="46" fillId="0" borderId="0" xfId="59" applyNumberFormat="1" applyFont="1" applyFill="1" applyProtection="1"/>
    <xf numFmtId="173" fontId="46" fillId="0" borderId="0" xfId="59" applyNumberFormat="1" applyFont="1" applyFill="1" applyBorder="1" applyAlignment="1" applyProtection="1">
      <alignment horizontal="right"/>
    </xf>
    <xf numFmtId="10" fontId="46" fillId="0" borderId="0" xfId="0" applyNumberFormat="1" applyFont="1" applyFill="1" applyAlignment="1" applyProtection="1">
      <alignment horizontal="center" vertical="center" wrapText="1"/>
    </xf>
    <xf numFmtId="173" fontId="46" fillId="0" borderId="0" xfId="59" applyNumberFormat="1" applyFont="1" applyFill="1" applyAlignment="1" applyProtection="1">
      <alignment horizontal="right" vertical="center" wrapText="1"/>
    </xf>
    <xf numFmtId="173" fontId="46" fillId="0" borderId="0" xfId="59" applyNumberFormat="1" applyFont="1" applyFill="1" applyBorder="1" applyAlignment="1" applyProtection="1">
      <alignment horizontal="right" vertical="center" wrapText="1"/>
    </xf>
    <xf numFmtId="172" fontId="120" fillId="0" borderId="0" xfId="0" applyFont="1" applyProtection="1"/>
    <xf numFmtId="173" fontId="46" fillId="14" borderId="0" xfId="59" applyNumberFormat="1" applyFont="1" applyFill="1" applyBorder="1" applyAlignment="1" applyProtection="1">
      <alignment horizontal="right" vertical="center" wrapText="1"/>
    </xf>
    <xf numFmtId="173" fontId="46" fillId="14" borderId="0" xfId="59" applyNumberFormat="1" applyFont="1" applyFill="1" applyBorder="1" applyAlignment="1" applyProtection="1">
      <alignment vertical="center" wrapText="1"/>
    </xf>
    <xf numFmtId="173" fontId="116" fillId="0" borderId="14" xfId="59" applyNumberFormat="1" applyFont="1" applyFill="1" applyBorder="1" applyProtection="1"/>
    <xf numFmtId="173" fontId="116" fillId="0" borderId="0" xfId="59" applyNumberFormat="1" applyFont="1" applyFill="1" applyBorder="1" applyProtection="1"/>
    <xf numFmtId="41" fontId="46" fillId="0" borderId="0" xfId="0" applyNumberFormat="1" applyFont="1" applyProtection="1"/>
    <xf numFmtId="0" fontId="46" fillId="0" borderId="0" xfId="398" applyFont="1" applyFill="1" applyAlignment="1" applyProtection="1">
      <alignment horizontal="center" vertical="top"/>
    </xf>
    <xf numFmtId="172" fontId="46" fillId="0" borderId="0" xfId="0" applyFont="1" applyFill="1" applyAlignment="1" applyProtection="1">
      <alignment horizontal="left" wrapText="1"/>
    </xf>
    <xf numFmtId="172" fontId="46" fillId="0" borderId="0" xfId="0" applyFont="1" applyBorder="1" applyAlignment="1" applyProtection="1">
      <alignment horizontal="center"/>
    </xf>
    <xf numFmtId="172" fontId="46" fillId="0" borderId="0" xfId="0" applyFont="1" applyAlignment="1" applyProtection="1">
      <alignment horizontal="left" vertical="center" wrapText="1"/>
    </xf>
    <xf numFmtId="174" fontId="46" fillId="0" borderId="0" xfId="93" applyNumberFormat="1" applyFont="1" applyAlignment="1" applyProtection="1"/>
    <xf numFmtId="0" fontId="46" fillId="0" borderId="0" xfId="398" quotePrefix="1" applyFont="1" applyAlignment="1" applyProtection="1">
      <alignment horizontal="center"/>
    </xf>
    <xf numFmtId="43" fontId="46" fillId="0" borderId="0" xfId="59" quotePrefix="1" applyFont="1" applyAlignment="1" applyProtection="1">
      <alignment horizontal="center"/>
    </xf>
    <xf numFmtId="172" fontId="46" fillId="0" borderId="0" xfId="0" applyFont="1" applyAlignment="1" applyProtection="1">
      <alignment horizontal="left" indent="1"/>
    </xf>
    <xf numFmtId="10" fontId="46" fillId="0" borderId="0" xfId="266" applyNumberFormat="1" applyFont="1" applyAlignment="1" applyProtection="1"/>
    <xf numFmtId="173" fontId="46" fillId="0" borderId="0" xfId="59" applyNumberFormat="1" applyFont="1" applyAlignment="1" applyProtection="1">
      <alignment horizontal="left" vertical="center" wrapText="1"/>
    </xf>
    <xf numFmtId="172" fontId="46" fillId="0" borderId="0" xfId="0" applyFont="1" applyAlignment="1" applyProtection="1">
      <alignment horizontal="left" indent="2"/>
    </xf>
    <xf numFmtId="172" fontId="97" fillId="0" borderId="0" xfId="0" applyFont="1" applyAlignment="1" applyProtection="1">
      <alignment horizontal="left" indent="1"/>
    </xf>
    <xf numFmtId="0" fontId="56" fillId="0" borderId="0" xfId="211" applyNumberFormat="1" applyFont="1" applyProtection="1"/>
    <xf numFmtId="172" fontId="46" fillId="0" borderId="0" xfId="0" applyFont="1" applyAlignment="1" applyProtection="1">
      <alignment horizontal="center" wrapText="1"/>
    </xf>
    <xf numFmtId="172" fontId="46" fillId="0" borderId="0" xfId="0" applyFont="1" applyFill="1" applyBorder="1" applyAlignment="1" applyProtection="1">
      <alignment horizontal="center" wrapText="1"/>
    </xf>
    <xf numFmtId="174" fontId="46" fillId="0" borderId="0" xfId="93" applyNumberFormat="1" applyFont="1" applyFill="1" applyBorder="1" applyProtection="1"/>
    <xf numFmtId="10" fontId="46" fillId="0" borderId="0" xfId="266" applyNumberFormat="1" applyFont="1" applyProtection="1"/>
    <xf numFmtId="174" fontId="46" fillId="0" borderId="0" xfId="93" applyNumberFormat="1" applyFont="1" applyProtection="1"/>
    <xf numFmtId="172" fontId="46" fillId="0" borderId="0" xfId="0" applyFont="1" applyAlignment="1" applyProtection="1">
      <alignment horizontal="right"/>
    </xf>
    <xf numFmtId="280" fontId="117" fillId="0" borderId="0" xfId="0" applyNumberFormat="1" applyFont="1" applyBorder="1" applyAlignment="1" applyProtection="1">
      <alignment horizontal="right"/>
    </xf>
    <xf numFmtId="41" fontId="46" fillId="0" borderId="0" xfId="0" applyNumberFormat="1" applyFont="1" applyBorder="1" applyProtection="1"/>
    <xf numFmtId="172" fontId="121" fillId="0" borderId="0" xfId="0" applyFont="1" applyProtection="1"/>
    <xf numFmtId="0" fontId="46" fillId="0" borderId="8" xfId="398" applyFont="1" applyBorder="1" applyAlignment="1" applyProtection="1">
      <alignment horizontal="left"/>
    </xf>
    <xf numFmtId="49" fontId="46" fillId="0" borderId="0" xfId="398" applyNumberFormat="1" applyFont="1" applyAlignment="1" applyProtection="1">
      <alignment horizontal="left" indent="1"/>
    </xf>
    <xf numFmtId="0" fontId="46" fillId="0" borderId="0" xfId="0" applyNumberFormat="1" applyFont="1" applyAlignment="1" applyProtection="1">
      <alignment horizontal="center" vertical="top"/>
    </xf>
    <xf numFmtId="0" fontId="46" fillId="0" borderId="0" xfId="398" applyFont="1" applyAlignment="1" applyProtection="1">
      <alignment horizontal="center" vertical="top"/>
    </xf>
    <xf numFmtId="0" fontId="46" fillId="0" borderId="0" xfId="398" applyFont="1" applyAlignment="1" applyProtection="1">
      <alignment vertical="top"/>
    </xf>
    <xf numFmtId="172" fontId="46" fillId="0" borderId="0" xfId="0" applyFont="1" applyAlignment="1" applyProtection="1">
      <alignment vertical="top"/>
    </xf>
    <xf numFmtId="173" fontId="46" fillId="0" borderId="0" xfId="59" applyNumberFormat="1" applyFont="1" applyAlignment="1" applyProtection="1">
      <alignment vertical="top"/>
    </xf>
    <xf numFmtId="172" fontId="46" fillId="0" borderId="0" xfId="0" applyFont="1" applyBorder="1" applyAlignment="1" applyProtection="1">
      <alignment vertical="top"/>
    </xf>
    <xf numFmtId="280" fontId="46" fillId="0" borderId="0" xfId="0" applyNumberFormat="1" applyFont="1" applyBorder="1" applyAlignment="1" applyProtection="1">
      <alignment vertical="top"/>
    </xf>
    <xf numFmtId="173" fontId="46" fillId="14" borderId="0" xfId="59" applyNumberFormat="1" applyFont="1" applyFill="1" applyAlignment="1" applyProtection="1">
      <protection locked="0"/>
    </xf>
    <xf numFmtId="0" fontId="52" fillId="0" borderId="0" xfId="389" applyFont="1" applyFill="1" applyAlignment="1" applyProtection="1">
      <alignment horizontal="center"/>
    </xf>
    <xf numFmtId="172" fontId="97" fillId="0" borderId="0" xfId="0" applyFont="1" applyAlignment="1" applyProtection="1"/>
    <xf numFmtId="279" fontId="46" fillId="0" borderId="0" xfId="0" applyNumberFormat="1" applyFont="1" applyFill="1" applyAlignment="1" applyProtection="1">
      <alignment horizontal="center"/>
    </xf>
    <xf numFmtId="0" fontId="46" fillId="0" borderId="0" xfId="0" applyNumberFormat="1" applyFont="1" applyFill="1" applyAlignment="1" applyProtection="1">
      <alignment horizontal="center"/>
    </xf>
    <xf numFmtId="172" fontId="46" fillId="0" borderId="0" xfId="0" applyFont="1" applyFill="1" applyAlignment="1" applyProtection="1">
      <alignment horizontal="left" indent="2"/>
    </xf>
    <xf numFmtId="174" fontId="46" fillId="0" borderId="0" xfId="93" applyNumberFormat="1" applyFont="1" applyFill="1" applyAlignment="1" applyProtection="1"/>
    <xf numFmtId="172" fontId="97" fillId="0" borderId="0" xfId="0" applyFont="1" applyFill="1" applyAlignment="1" applyProtection="1">
      <alignment horizontal="left"/>
    </xf>
    <xf numFmtId="172" fontId="106" fillId="0" borderId="0" xfId="0" applyFont="1" applyAlignment="1" applyProtection="1"/>
    <xf numFmtId="173" fontId="46" fillId="0" borderId="0" xfId="93" applyNumberFormat="1" applyFont="1" applyFill="1" applyAlignment="1" applyProtection="1"/>
    <xf numFmtId="173" fontId="46" fillId="0" borderId="0" xfId="93" applyNumberFormat="1" applyFont="1" applyAlignment="1" applyProtection="1"/>
    <xf numFmtId="279" fontId="46" fillId="0" borderId="0" xfId="0" applyNumberFormat="1" applyFont="1" applyFill="1" applyAlignment="1" applyProtection="1"/>
    <xf numFmtId="173" fontId="46" fillId="0" borderId="0" xfId="0" applyNumberFormat="1" applyFont="1" applyFill="1" applyAlignment="1" applyProtection="1"/>
    <xf numFmtId="172" fontId="52" fillId="0" borderId="8" xfId="0" applyFont="1" applyBorder="1" applyAlignment="1" applyProtection="1"/>
    <xf numFmtId="172" fontId="52" fillId="0" borderId="0" xfId="0" applyFont="1" applyAlignment="1" applyProtection="1">
      <alignment horizontal="right" vertical="center"/>
    </xf>
    <xf numFmtId="172" fontId="52" fillId="0" borderId="0" xfId="0" applyFont="1" applyAlignment="1" applyProtection="1">
      <alignment horizontal="left" vertical="center"/>
    </xf>
    <xf numFmtId="172" fontId="52" fillId="0" borderId="0" xfId="0" applyFont="1" applyAlignment="1" applyProtection="1">
      <alignment horizontal="left" vertical="center" indent="7"/>
    </xf>
    <xf numFmtId="0" fontId="46" fillId="0" borderId="0" xfId="0" applyNumberFormat="1" applyFont="1" applyAlignment="1" applyProtection="1"/>
    <xf numFmtId="0" fontId="46" fillId="0" borderId="0" xfId="212" applyFont="1" applyFill="1" applyProtection="1"/>
    <xf numFmtId="0" fontId="46" fillId="0" borderId="0" xfId="212" applyFont="1" applyFill="1" applyAlignment="1" applyProtection="1">
      <alignment horizontal="right"/>
    </xf>
    <xf numFmtId="172" fontId="46" fillId="0" borderId="0" xfId="0" applyFont="1" applyFill="1" applyAlignment="1" applyProtection="1">
      <alignment horizontal="right"/>
    </xf>
    <xf numFmtId="9" fontId="46" fillId="0" borderId="0" xfId="266" applyFont="1" applyFill="1" applyAlignment="1" applyProtection="1"/>
    <xf numFmtId="0" fontId="97" fillId="0" borderId="1" xfId="0" applyNumberFormat="1" applyFont="1" applyBorder="1" applyAlignment="1" applyProtection="1">
      <alignment horizontal="center"/>
    </xf>
    <xf numFmtId="3" fontId="97" fillId="0" borderId="0" xfId="0" applyNumberFormat="1" applyFont="1" applyFill="1" applyAlignment="1" applyProtection="1"/>
    <xf numFmtId="169" fontId="97" fillId="0" borderId="0" xfId="0" applyNumberFormat="1" applyFont="1" applyAlignment="1" applyProtection="1"/>
    <xf numFmtId="174" fontId="97" fillId="0" borderId="0" xfId="93" applyNumberFormat="1" applyFont="1" applyAlignment="1" applyProtection="1"/>
    <xf numFmtId="3" fontId="46" fillId="0" borderId="0" xfId="0" applyNumberFormat="1" applyFont="1" applyFill="1" applyAlignment="1" applyProtection="1"/>
    <xf numFmtId="172" fontId="46" fillId="0" borderId="0" xfId="0" applyFont="1" applyAlignment="1" applyProtection="1">
      <alignment wrapText="1"/>
    </xf>
    <xf numFmtId="173" fontId="56" fillId="14" borderId="0" xfId="59" applyNumberFormat="1" applyFont="1" applyFill="1" applyBorder="1" applyProtection="1">
      <protection locked="0"/>
    </xf>
    <xf numFmtId="173" fontId="56" fillId="14" borderId="0" xfId="59" applyNumberFormat="1" applyFont="1" applyFill="1" applyAlignment="1" applyProtection="1">
      <protection locked="0"/>
    </xf>
    <xf numFmtId="173" fontId="56" fillId="14" borderId="0" xfId="59" applyNumberFormat="1" applyFont="1" applyFill="1" applyProtection="1">
      <protection locked="0"/>
    </xf>
    <xf numFmtId="173" fontId="56" fillId="14" borderId="8" xfId="59" applyNumberFormat="1" applyFont="1" applyFill="1" applyBorder="1" applyProtection="1">
      <protection locked="0"/>
    </xf>
    <xf numFmtId="173" fontId="56" fillId="14" borderId="8" xfId="59" applyNumberFormat="1" applyFont="1" applyFill="1" applyBorder="1" applyAlignment="1" applyProtection="1">
      <protection locked="0"/>
    </xf>
    <xf numFmtId="172" fontId="56" fillId="14" borderId="0" xfId="201" applyFont="1" applyFill="1" applyBorder="1" applyAlignment="1" applyProtection="1">
      <protection locked="0"/>
    </xf>
    <xf numFmtId="174" fontId="56" fillId="14" borderId="0" xfId="93" applyNumberFormat="1" applyFont="1" applyFill="1" applyBorder="1" applyAlignment="1" applyProtection="1">
      <protection locked="0"/>
    </xf>
    <xf numFmtId="172" fontId="56" fillId="14" borderId="1" xfId="201" applyFont="1" applyFill="1" applyBorder="1" applyAlignment="1" applyProtection="1">
      <protection locked="0"/>
    </xf>
    <xf numFmtId="173" fontId="56" fillId="14" borderId="0" xfId="59" applyNumberFormat="1" applyFont="1" applyFill="1" applyBorder="1" applyAlignment="1" applyProtection="1">
      <protection locked="0"/>
    </xf>
    <xf numFmtId="173" fontId="56" fillId="14" borderId="1" xfId="59" applyNumberFormat="1" applyFont="1" applyFill="1" applyBorder="1" applyAlignment="1" applyProtection="1">
      <protection locked="0"/>
    </xf>
    <xf numFmtId="173" fontId="56" fillId="14" borderId="10" xfId="59" applyNumberFormat="1" applyFont="1" applyFill="1" applyBorder="1" applyAlignment="1" applyProtection="1">
      <protection locked="0"/>
    </xf>
    <xf numFmtId="173" fontId="85" fillId="14" borderId="17" xfId="59" applyNumberFormat="1" applyFont="1" applyFill="1" applyBorder="1" applyAlignment="1" applyProtection="1">
      <protection locked="0"/>
    </xf>
    <xf numFmtId="173" fontId="85" fillId="14" borderId="1" xfId="59" applyNumberFormat="1" applyFont="1" applyFill="1" applyBorder="1" applyAlignment="1" applyProtection="1">
      <protection locked="0"/>
    </xf>
    <xf numFmtId="173" fontId="56" fillId="14" borderId="11" xfId="59" applyNumberFormat="1" applyFont="1" applyFill="1" applyBorder="1" applyAlignment="1" applyProtection="1">
      <protection locked="0"/>
    </xf>
    <xf numFmtId="173" fontId="56" fillId="14" borderId="15" xfId="59" applyNumberFormat="1" applyFont="1" applyFill="1" applyBorder="1" applyAlignment="1" applyProtection="1">
      <protection locked="0"/>
    </xf>
    <xf numFmtId="172" fontId="56" fillId="14" borderId="11" xfId="0" applyFont="1" applyFill="1" applyBorder="1" applyProtection="1">
      <protection locked="0"/>
    </xf>
    <xf numFmtId="173" fontId="56" fillId="14" borderId="12" xfId="59" applyNumberFormat="1" applyFont="1" applyFill="1" applyBorder="1" applyAlignment="1" applyProtection="1">
      <alignment horizontal="center"/>
      <protection locked="0"/>
    </xf>
    <xf numFmtId="43" fontId="56" fillId="14" borderId="22" xfId="59" applyFont="1" applyFill="1" applyBorder="1" applyProtection="1">
      <protection locked="0"/>
    </xf>
    <xf numFmtId="43" fontId="56" fillId="14" borderId="11" xfId="59" applyFont="1" applyFill="1" applyBorder="1" applyProtection="1">
      <protection locked="0"/>
    </xf>
    <xf numFmtId="173" fontId="56" fillId="14" borderId="10" xfId="59" applyNumberFormat="1" applyFont="1" applyFill="1" applyBorder="1" applyProtection="1">
      <protection locked="0"/>
    </xf>
    <xf numFmtId="43" fontId="56" fillId="14" borderId="12" xfId="59" applyFont="1" applyFill="1" applyBorder="1" applyProtection="1">
      <protection locked="0"/>
    </xf>
    <xf numFmtId="43" fontId="56" fillId="14" borderId="11" xfId="59" applyFont="1" applyFill="1" applyBorder="1" applyAlignment="1" applyProtection="1">
      <alignment horizontal="center"/>
      <protection locked="0"/>
    </xf>
    <xf numFmtId="43" fontId="56" fillId="14" borderId="10" xfId="59" applyFont="1" applyFill="1" applyBorder="1" applyAlignment="1" applyProtection="1">
      <alignment horizontal="center"/>
      <protection locked="0"/>
    </xf>
    <xf numFmtId="43" fontId="56" fillId="14" borderId="11" xfId="59" applyFont="1" applyFill="1" applyBorder="1" applyAlignment="1" applyProtection="1">
      <protection locked="0"/>
    </xf>
    <xf numFmtId="174" fontId="56" fillId="14" borderId="0" xfId="93" applyNumberFormat="1" applyFont="1" applyFill="1" applyAlignment="1" applyProtection="1">
      <protection locked="0"/>
    </xf>
    <xf numFmtId="172" fontId="56" fillId="14" borderId="0" xfId="0" applyFont="1" applyFill="1" applyAlignment="1" applyProtection="1">
      <protection locked="0"/>
    </xf>
    <xf numFmtId="172" fontId="56" fillId="14" borderId="0" xfId="0" applyFont="1" applyFill="1" applyAlignment="1" applyProtection="1">
      <alignment horizontal="left"/>
      <protection locked="0"/>
    </xf>
    <xf numFmtId="172" fontId="56" fillId="14" borderId="0" xfId="0" applyFont="1" applyFill="1" applyAlignment="1" applyProtection="1">
      <alignment horizontal="center" wrapText="1"/>
      <protection locked="0"/>
    </xf>
    <xf numFmtId="0" fontId="56" fillId="14" borderId="0" xfId="187" applyFont="1" applyFill="1" applyBorder="1" applyAlignment="1" applyProtection="1">
      <protection locked="0"/>
    </xf>
    <xf numFmtId="43" fontId="56" fillId="14" borderId="0" xfId="59" applyNumberFormat="1" applyFont="1" applyFill="1" applyBorder="1" applyAlignment="1" applyProtection="1">
      <alignment horizontal="center"/>
      <protection locked="0"/>
    </xf>
    <xf numFmtId="43" fontId="56" fillId="14" borderId="0" xfId="59" applyNumberFormat="1" applyFont="1" applyFill="1" applyAlignment="1" applyProtection="1">
      <protection locked="0"/>
    </xf>
    <xf numFmtId="9" fontId="56" fillId="14" borderId="0" xfId="266" applyFont="1" applyFill="1" applyAlignment="1" applyProtection="1">
      <protection locked="0"/>
    </xf>
    <xf numFmtId="0" fontId="112" fillId="14" borderId="0" xfId="187" applyFont="1" applyFill="1" applyBorder="1" applyAlignment="1" applyProtection="1">
      <protection locked="0"/>
    </xf>
    <xf numFmtId="173" fontId="112" fillId="14" borderId="0" xfId="59" applyNumberFormat="1" applyFont="1" applyFill="1" applyBorder="1" applyProtection="1">
      <protection locked="0"/>
    </xf>
    <xf numFmtId="0" fontId="56" fillId="14" borderId="1" xfId="187" applyFont="1" applyFill="1" applyBorder="1" applyAlignment="1" applyProtection="1">
      <protection locked="0"/>
    </xf>
    <xf numFmtId="173" fontId="56" fillId="14" borderId="1" xfId="59" applyNumberFormat="1" applyFont="1" applyFill="1" applyBorder="1" applyProtection="1">
      <protection locked="0"/>
    </xf>
    <xf numFmtId="173" fontId="56" fillId="14" borderId="1" xfId="59" applyNumberFormat="1" applyFont="1" applyFill="1" applyBorder="1" applyAlignment="1" applyProtection="1">
      <alignment horizontal="center"/>
      <protection locked="0"/>
    </xf>
    <xf numFmtId="43" fontId="56" fillId="14" borderId="1" xfId="59" applyFont="1" applyFill="1" applyBorder="1" applyAlignment="1" applyProtection="1">
      <protection locked="0"/>
    </xf>
    <xf numFmtId="41" fontId="56" fillId="14" borderId="0" xfId="212" applyNumberFormat="1" applyFont="1" applyFill="1" applyProtection="1">
      <protection locked="0"/>
    </xf>
    <xf numFmtId="175" fontId="52" fillId="14" borderId="0" xfId="392" applyNumberFormat="1" applyFont="1" applyFill="1" applyProtection="1">
      <protection locked="0"/>
    </xf>
    <xf numFmtId="173" fontId="104" fillId="14" borderId="0" xfId="392" applyNumberFormat="1" applyFont="1" applyFill="1" applyBorder="1" applyProtection="1">
      <protection locked="0"/>
    </xf>
    <xf numFmtId="173" fontId="104" fillId="14" borderId="0" xfId="392" applyNumberFormat="1" applyFont="1" applyFill="1" applyProtection="1">
      <protection locked="0"/>
    </xf>
    <xf numFmtId="173" fontId="104" fillId="14" borderId="0" xfId="389" applyNumberFormat="1" applyFont="1" applyFill="1" applyProtection="1">
      <protection locked="0"/>
    </xf>
    <xf numFmtId="173" fontId="52" fillId="14" borderId="0" xfId="59" applyNumberFormat="1" applyFont="1" applyFill="1" applyBorder="1" applyProtection="1">
      <protection locked="0"/>
    </xf>
    <xf numFmtId="173" fontId="104" fillId="14" borderId="0" xfId="59" applyNumberFormat="1" applyFont="1" applyFill="1" applyBorder="1" applyProtection="1">
      <protection locked="0"/>
    </xf>
    <xf numFmtId="173" fontId="104" fillId="14" borderId="0" xfId="59" applyNumberFormat="1" applyFont="1" applyFill="1" applyProtection="1">
      <protection locked="0"/>
    </xf>
    <xf numFmtId="175" fontId="131" fillId="14" borderId="0" xfId="392" applyNumberFormat="1" applyFont="1" applyFill="1" applyProtection="1">
      <protection locked="0"/>
    </xf>
    <xf numFmtId="37" fontId="52" fillId="14" borderId="23" xfId="440" applyNumberFormat="1" applyFont="1" applyFill="1" applyBorder="1" applyAlignment="1" applyProtection="1">
      <alignment wrapText="1"/>
      <protection locked="0"/>
    </xf>
    <xf numFmtId="41" fontId="52" fillId="14" borderId="9" xfId="389" applyNumberFormat="1" applyFont="1" applyFill="1" applyBorder="1" applyProtection="1">
      <protection locked="0"/>
    </xf>
    <xf numFmtId="41" fontId="52" fillId="14" borderId="9" xfId="389" applyNumberFormat="1" applyFont="1" applyFill="1" applyBorder="1" applyAlignment="1" applyProtection="1">
      <alignment horizontal="left" vertical="top" wrapText="1"/>
      <protection locked="0"/>
    </xf>
    <xf numFmtId="41" fontId="52" fillId="14" borderId="9" xfId="395" applyNumberFormat="1" applyFont="1" applyFill="1" applyBorder="1" applyProtection="1">
      <protection locked="0"/>
    </xf>
    <xf numFmtId="0" fontId="56" fillId="14" borderId="9" xfId="389" applyFont="1" applyFill="1" applyBorder="1" applyAlignment="1" applyProtection="1">
      <protection locked="0"/>
    </xf>
    <xf numFmtId="0" fontId="52" fillId="14" borderId="9" xfId="389" applyFont="1" applyFill="1" applyBorder="1" applyProtection="1">
      <protection locked="0"/>
    </xf>
    <xf numFmtId="41" fontId="16" fillId="14" borderId="9" xfId="389" applyNumberFormat="1" applyFont="1" applyFill="1" applyBorder="1" applyProtection="1">
      <protection locked="0"/>
    </xf>
    <xf numFmtId="41" fontId="56" fillId="14" borderId="9" xfId="389" applyNumberFormat="1" applyFont="1" applyFill="1" applyBorder="1" applyAlignment="1" applyProtection="1">
      <protection locked="0"/>
    </xf>
    <xf numFmtId="37" fontId="52" fillId="14" borderId="9" xfId="389" applyNumberFormat="1" applyFont="1" applyFill="1" applyBorder="1" applyAlignment="1" applyProtection="1">
      <alignment wrapText="1"/>
      <protection locked="0"/>
    </xf>
    <xf numFmtId="0" fontId="52" fillId="14" borderId="9" xfId="389" applyFont="1" applyFill="1" applyBorder="1" applyAlignment="1" applyProtection="1">
      <alignment wrapText="1"/>
      <protection locked="0"/>
    </xf>
    <xf numFmtId="0" fontId="56" fillId="14" borderId="9" xfId="389" applyFont="1" applyFill="1" applyBorder="1" applyProtection="1">
      <protection locked="0"/>
    </xf>
    <xf numFmtId="41" fontId="52" fillId="14" borderId="9" xfId="448" applyNumberFormat="1" applyFont="1" applyFill="1" applyBorder="1" applyProtection="1">
      <protection locked="0"/>
    </xf>
    <xf numFmtId="37" fontId="52" fillId="14" borderId="9" xfId="389" applyNumberFormat="1" applyFont="1" applyFill="1" applyBorder="1" applyProtection="1">
      <protection locked="0"/>
    </xf>
    <xf numFmtId="37" fontId="52" fillId="14" borderId="9" xfId="396" applyNumberFormat="1" applyFont="1" applyFill="1" applyBorder="1" applyProtection="1">
      <protection locked="0"/>
    </xf>
    <xf numFmtId="37" fontId="56" fillId="14" borderId="9" xfId="389" applyNumberFormat="1" applyFont="1" applyFill="1" applyBorder="1" applyProtection="1">
      <protection locked="0"/>
    </xf>
    <xf numFmtId="37" fontId="56" fillId="14" borderId="9" xfId="389" applyNumberFormat="1" applyFont="1" applyFill="1" applyBorder="1" applyAlignment="1" applyProtection="1">
      <alignment shrinkToFit="1"/>
      <protection locked="0"/>
    </xf>
    <xf numFmtId="0" fontId="52" fillId="14" borderId="0" xfId="389" applyFont="1" applyFill="1" applyProtection="1">
      <protection locked="0"/>
    </xf>
    <xf numFmtId="41" fontId="52" fillId="14" borderId="9" xfId="392" applyNumberFormat="1" applyFont="1" applyFill="1" applyBorder="1" applyAlignment="1" applyProtection="1">
      <alignment horizontal="right"/>
      <protection locked="0"/>
    </xf>
    <xf numFmtId="41" fontId="130" fillId="14" borderId="9" xfId="440" applyNumberFormat="1" applyFont="1" applyFill="1" applyBorder="1" applyProtection="1">
      <protection locked="0"/>
    </xf>
    <xf numFmtId="0" fontId="56" fillId="14" borderId="9" xfId="440" applyFont="1" applyFill="1" applyBorder="1" applyProtection="1">
      <protection locked="0"/>
    </xf>
    <xf numFmtId="0" fontId="52" fillId="14" borderId="9" xfId="448" applyFont="1" applyFill="1" applyBorder="1" applyAlignment="1" applyProtection="1">
      <alignment wrapText="1"/>
      <protection locked="0"/>
    </xf>
    <xf numFmtId="41" fontId="130" fillId="14" borderId="9" xfId="389" applyNumberFormat="1" applyFont="1" applyFill="1" applyBorder="1" applyProtection="1">
      <protection locked="0"/>
    </xf>
    <xf numFmtId="0" fontId="56" fillId="14" borderId="9" xfId="389" applyFont="1" applyFill="1" applyBorder="1" applyAlignment="1" applyProtection="1">
      <alignment wrapText="1"/>
      <protection locked="0"/>
    </xf>
    <xf numFmtId="37" fontId="52" fillId="14" borderId="9" xfId="396" applyNumberFormat="1" applyFont="1" applyFill="1" applyBorder="1" applyAlignment="1" applyProtection="1">
      <alignment wrapText="1"/>
      <protection locked="0"/>
    </xf>
    <xf numFmtId="37" fontId="56" fillId="14" borderId="9" xfId="389" applyNumberFormat="1" applyFont="1" applyFill="1" applyBorder="1" applyAlignment="1" applyProtection="1">
      <alignment wrapText="1"/>
      <protection locked="0"/>
    </xf>
    <xf numFmtId="37" fontId="56" fillId="14" borderId="9" xfId="389" applyNumberFormat="1" applyFont="1" applyFill="1" applyBorder="1" applyAlignment="1" applyProtection="1">
      <alignment wrapText="1" shrinkToFit="1"/>
      <protection locked="0"/>
    </xf>
    <xf numFmtId="41" fontId="52" fillId="14" borderId="9" xfId="442" applyNumberFormat="1" applyFont="1" applyFill="1" applyBorder="1" applyAlignment="1" applyProtection="1">
      <alignment horizontal="right"/>
      <protection locked="0"/>
    </xf>
    <xf numFmtId="0" fontId="104" fillId="14" borderId="0" xfId="389" applyFont="1" applyFill="1" applyAlignment="1" applyProtection="1">
      <alignment horizontal="left"/>
      <protection locked="0"/>
    </xf>
    <xf numFmtId="173" fontId="104" fillId="14" borderId="0" xfId="389" applyNumberFormat="1" applyFont="1" applyFill="1" applyAlignment="1" applyProtection="1">
      <alignment horizontal="center"/>
      <protection locked="0"/>
    </xf>
    <xf numFmtId="172" fontId="52" fillId="14" borderId="0" xfId="0" applyFont="1" applyFill="1" applyProtection="1">
      <protection locked="0"/>
    </xf>
    <xf numFmtId="0" fontId="104" fillId="14" borderId="0" xfId="389" applyFont="1" applyFill="1" applyAlignment="1" applyProtection="1">
      <alignment horizontal="center"/>
      <protection locked="0"/>
    </xf>
    <xf numFmtId="172" fontId="52" fillId="14" borderId="0" xfId="0" applyFont="1" applyFill="1" applyAlignment="1" applyProtection="1">
      <protection locked="0"/>
    </xf>
    <xf numFmtId="0" fontId="56" fillId="14" borderId="0" xfId="212" quotePrefix="1" applyFont="1" applyFill="1" applyAlignment="1" applyProtection="1">
      <alignment horizontal="left"/>
      <protection locked="0"/>
    </xf>
    <xf numFmtId="172" fontId="46" fillId="14" borderId="0" xfId="0" applyFont="1" applyFill="1" applyAlignment="1" applyProtection="1">
      <protection locked="0"/>
    </xf>
    <xf numFmtId="0" fontId="56" fillId="14" borderId="0" xfId="212" quotePrefix="1" applyFont="1" applyFill="1" applyAlignment="1" applyProtection="1">
      <alignment horizontal="center"/>
      <protection locked="0"/>
    </xf>
    <xf numFmtId="174" fontId="56" fillId="14" borderId="0" xfId="93" quotePrefix="1" applyNumberFormat="1" applyFont="1" applyFill="1" applyAlignment="1" applyProtection="1">
      <alignment horizontal="left"/>
      <protection locked="0"/>
    </xf>
    <xf numFmtId="173" fontId="56" fillId="14" borderId="0" xfId="59" quotePrefix="1" applyNumberFormat="1" applyFont="1" applyFill="1" applyAlignment="1" applyProtection="1">
      <alignment horizontal="left"/>
      <protection locked="0"/>
    </xf>
    <xf numFmtId="39" fontId="56" fillId="14" borderId="0" xfId="59" quotePrefix="1" applyNumberFormat="1" applyFont="1" applyFill="1" applyAlignment="1" applyProtection="1">
      <alignment horizontal="left"/>
      <protection locked="0"/>
    </xf>
    <xf numFmtId="173" fontId="56" fillId="14" borderId="3" xfId="93" applyNumberFormat="1" applyFont="1" applyFill="1" applyBorder="1" applyAlignment="1" applyProtection="1">
      <alignment horizontal="right"/>
      <protection locked="0"/>
    </xf>
    <xf numFmtId="174" fontId="56" fillId="14" borderId="3" xfId="93" applyNumberFormat="1" applyFont="1" applyFill="1" applyBorder="1" applyProtection="1">
      <protection locked="0"/>
    </xf>
    <xf numFmtId="173" fontId="52" fillId="14" borderId="0" xfId="59" applyNumberFormat="1" applyFont="1" applyFill="1" applyAlignment="1" applyProtection="1">
      <alignment wrapText="1"/>
      <protection locked="0"/>
    </xf>
    <xf numFmtId="173" fontId="52" fillId="14" borderId="9" xfId="59" applyNumberFormat="1" applyFont="1" applyFill="1" applyBorder="1" applyProtection="1">
      <protection locked="0"/>
    </xf>
    <xf numFmtId="277" fontId="52" fillId="14" borderId="0" xfId="93" applyNumberFormat="1" applyFont="1" applyFill="1" applyBorder="1" applyProtection="1"/>
    <xf numFmtId="177" fontId="52" fillId="14" borderId="0" xfId="59" applyNumberFormat="1" applyFont="1" applyFill="1" applyBorder="1" applyProtection="1"/>
    <xf numFmtId="172" fontId="52" fillId="14" borderId="0" xfId="0" applyFont="1" applyFill="1" applyAlignment="1" applyProtection="1">
      <alignment horizontal="left" wrapText="1"/>
      <protection locked="0"/>
    </xf>
    <xf numFmtId="37" fontId="52" fillId="14" borderId="0" xfId="0" applyNumberFormat="1" applyFont="1" applyFill="1" applyAlignment="1" applyProtection="1">
      <alignment horizontal="right"/>
      <protection locked="0"/>
    </xf>
    <xf numFmtId="37" fontId="52" fillId="14" borderId="1" xfId="0" applyNumberFormat="1" applyFont="1" applyFill="1" applyBorder="1" applyAlignment="1" applyProtection="1">
      <alignment horizontal="right"/>
      <protection locked="0"/>
    </xf>
    <xf numFmtId="172" fontId="56" fillId="14" borderId="10" xfId="0" applyFont="1" applyFill="1" applyBorder="1" applyProtection="1">
      <protection locked="0"/>
    </xf>
    <xf numFmtId="172" fontId="56" fillId="14" borderId="0" xfId="0" applyFont="1" applyFill="1" applyBorder="1" applyProtection="1">
      <protection locked="0"/>
    </xf>
    <xf numFmtId="173" fontId="46" fillId="14" borderId="1" xfId="59" applyNumberFormat="1" applyFont="1" applyFill="1" applyBorder="1" applyAlignment="1" applyProtection="1">
      <protection locked="0"/>
    </xf>
    <xf numFmtId="169" fontId="56" fillId="0" borderId="11" xfId="59" applyNumberFormat="1" applyFont="1" applyFill="1" applyBorder="1" applyAlignment="1" applyProtection="1"/>
    <xf numFmtId="169" fontId="56" fillId="0" borderId="15" xfId="201" applyNumberFormat="1" applyFont="1" applyFill="1" applyBorder="1" applyAlignment="1" applyProtection="1"/>
    <xf numFmtId="173" fontId="56" fillId="0" borderId="0" xfId="59" applyNumberFormat="1" applyFont="1" applyFill="1" applyBorder="1" applyAlignment="1" applyProtection="1">
      <alignment horizontal="center"/>
      <protection locked="0"/>
    </xf>
    <xf numFmtId="182" fontId="56" fillId="0" borderId="0" xfId="59" applyNumberFormat="1" applyFont="1" applyFill="1" applyBorder="1" applyProtection="1"/>
    <xf numFmtId="0" fontId="56" fillId="0" borderId="0" xfId="188" applyNumberFormat="1" applyFont="1" applyFill="1" applyAlignment="1" applyProtection="1">
      <alignment vertical="top" wrapText="1"/>
    </xf>
    <xf numFmtId="172" fontId="56" fillId="0" borderId="0" xfId="0" applyFont="1" applyFill="1" applyAlignment="1" applyProtection="1">
      <alignment horizontal="left" vertical="center" wrapText="1"/>
    </xf>
    <xf numFmtId="172" fontId="63" fillId="0" borderId="0" xfId="0" applyFont="1" applyFill="1" applyAlignment="1" applyProtection="1">
      <alignment horizontal="center"/>
    </xf>
    <xf numFmtId="0" fontId="52" fillId="0" borderId="0" xfId="389" applyFont="1" applyFill="1" applyBorder="1" applyAlignment="1" applyProtection="1">
      <alignment horizontal="center"/>
    </xf>
    <xf numFmtId="10" fontId="56" fillId="14" borderId="0" xfId="731" applyNumberFormat="1" applyFont="1" applyFill="1" applyProtection="1">
      <protection locked="0"/>
    </xf>
    <xf numFmtId="3" fontId="56" fillId="0" borderId="0" xfId="188" applyNumberFormat="1" applyFont="1" applyAlignment="1" applyProtection="1">
      <alignment wrapText="1"/>
    </xf>
    <xf numFmtId="41" fontId="109" fillId="14" borderId="9" xfId="389" applyNumberFormat="1" applyFont="1" applyFill="1" applyBorder="1" applyProtection="1">
      <protection locked="0"/>
    </xf>
    <xf numFmtId="41" fontId="52" fillId="14" borderId="20" xfId="389" applyNumberFormat="1" applyFont="1" applyFill="1" applyBorder="1" applyProtection="1">
      <protection locked="0"/>
    </xf>
    <xf numFmtId="37" fontId="56" fillId="14" borderId="9" xfId="396" applyNumberFormat="1" applyFont="1" applyFill="1" applyBorder="1" applyProtection="1">
      <protection locked="0"/>
    </xf>
    <xf numFmtId="37" fontId="56" fillId="14" borderId="9" xfId="389" applyNumberFormat="1" applyFont="1" applyFill="1" applyBorder="1" applyAlignment="1" applyProtection="1">
      <protection locked="0"/>
    </xf>
    <xf numFmtId="41" fontId="56" fillId="14" borderId="9" xfId="389" applyNumberFormat="1" applyFont="1" applyFill="1" applyBorder="1" applyProtection="1">
      <protection locked="0"/>
    </xf>
    <xf numFmtId="41" fontId="52" fillId="14" borderId="9" xfId="528" applyNumberFormat="1" applyFont="1" applyFill="1" applyBorder="1" applyProtection="1">
      <protection locked="0"/>
    </xf>
    <xf numFmtId="37" fontId="52" fillId="14" borderId="9" xfId="528" applyNumberFormat="1" applyFont="1" applyFill="1" applyBorder="1" applyAlignment="1" applyProtection="1">
      <alignment wrapText="1"/>
      <protection locked="0"/>
    </xf>
    <xf numFmtId="37" fontId="52" fillId="14" borderId="23" xfId="528" applyNumberFormat="1" applyFont="1" applyFill="1" applyBorder="1" applyAlignment="1" applyProtection="1">
      <alignment wrapText="1"/>
      <protection locked="0"/>
    </xf>
    <xf numFmtId="37" fontId="52" fillId="14" borderId="9" xfId="536" applyNumberFormat="1" applyFont="1" applyFill="1" applyBorder="1" applyAlignment="1" applyProtection="1">
      <alignment wrapText="1"/>
      <protection locked="0"/>
    </xf>
    <xf numFmtId="41" fontId="52" fillId="14" borderId="9" xfId="536" applyNumberFormat="1" applyFont="1" applyFill="1" applyBorder="1" applyProtection="1">
      <protection locked="0"/>
    </xf>
    <xf numFmtId="0" fontId="56" fillId="14" borderId="9" xfId="536" applyFont="1" applyFill="1" applyBorder="1" applyAlignment="1" applyProtection="1">
      <alignment wrapText="1"/>
      <protection locked="0"/>
    </xf>
    <xf numFmtId="37" fontId="52" fillId="14" borderId="9" xfId="406" applyNumberFormat="1" applyFont="1" applyFill="1" applyBorder="1" applyAlignment="1" applyProtection="1">
      <alignment wrapText="1"/>
      <protection locked="0"/>
    </xf>
    <xf numFmtId="37" fontId="52" fillId="14" borderId="9" xfId="448" applyNumberFormat="1" applyFont="1" applyFill="1" applyBorder="1" applyAlignment="1" applyProtection="1">
      <alignment wrapText="1"/>
      <protection locked="0"/>
    </xf>
    <xf numFmtId="41" fontId="52" fillId="14" borderId="9" xfId="448" applyNumberFormat="1" applyFont="1" applyFill="1" applyBorder="1" applyAlignment="1" applyProtection="1">
      <protection locked="0"/>
    </xf>
    <xf numFmtId="172" fontId="105" fillId="0" borderId="0" xfId="0" applyFont="1" applyAlignment="1">
      <alignment horizontal="left"/>
    </xf>
    <xf numFmtId="0" fontId="112" fillId="0" borderId="0" xfId="1132" applyFont="1"/>
    <xf numFmtId="43" fontId="112" fillId="0" borderId="0" xfId="1132" applyNumberFormat="1" applyFont="1"/>
    <xf numFmtId="0" fontId="112" fillId="0" borderId="0" xfId="1132" applyFont="1" applyAlignment="1">
      <alignment horizontal="center"/>
    </xf>
    <xf numFmtId="6" fontId="46" fillId="0" borderId="0" xfId="0" applyNumberFormat="1" applyFont="1"/>
    <xf numFmtId="0" fontId="112" fillId="0" borderId="0" xfId="1132" applyFont="1" applyAlignment="1">
      <alignment horizontal="left"/>
    </xf>
    <xf numFmtId="173" fontId="112" fillId="0" borderId="0" xfId="1132" applyNumberFormat="1" applyFont="1"/>
    <xf numFmtId="0" fontId="119" fillId="0" borderId="0" xfId="1132" applyFont="1"/>
    <xf numFmtId="0" fontId="119" fillId="0" borderId="0" xfId="1132" applyFont="1" applyAlignment="1">
      <alignment horizontal="left"/>
    </xf>
    <xf numFmtId="0" fontId="134" fillId="0" borderId="0" xfId="1132" applyFont="1"/>
    <xf numFmtId="0" fontId="119" fillId="0" borderId="0" xfId="1132" applyFont="1" applyAlignment="1">
      <alignment horizontal="center"/>
    </xf>
    <xf numFmtId="0" fontId="56" fillId="0" borderId="0" xfId="1132" applyFont="1"/>
    <xf numFmtId="172" fontId="135" fillId="0" borderId="1" xfId="0" applyFont="1" applyBorder="1" applyAlignment="1">
      <alignment horizontal="center" wrapText="1"/>
    </xf>
    <xf numFmtId="172" fontId="135" fillId="0" borderId="1" xfId="0" applyFont="1" applyBorder="1" applyAlignment="1">
      <alignment horizontal="left" wrapText="1"/>
    </xf>
    <xf numFmtId="0" fontId="137" fillId="0" borderId="0" xfId="1132" applyFont="1" applyAlignment="1">
      <alignment horizontal="left"/>
    </xf>
    <xf numFmtId="172" fontId="135" fillId="0" borderId="0" xfId="0" applyFont="1" applyAlignment="1">
      <alignment horizontal="left" wrapText="1" indent="1"/>
    </xf>
    <xf numFmtId="172" fontId="135" fillId="0" borderId="0" xfId="0" applyFont="1" applyAlignment="1">
      <alignment horizontal="center" wrapText="1"/>
    </xf>
    <xf numFmtId="0" fontId="137" fillId="0" borderId="0" xfId="1132" applyFont="1" applyAlignment="1">
      <alignment horizontal="center" wrapText="1"/>
    </xf>
    <xf numFmtId="0" fontId="138" fillId="0" borderId="0" xfId="1132" applyFont="1"/>
    <xf numFmtId="172" fontId="112" fillId="0" borderId="0" xfId="0" applyFont="1"/>
    <xf numFmtId="172" fontId="135" fillId="0" borderId="0" xfId="0" applyFont="1" applyAlignment="1">
      <alignment horizontal="left" wrapText="1"/>
    </xf>
    <xf numFmtId="172" fontId="139" fillId="0" borderId="0" xfId="0" applyFont="1"/>
    <xf numFmtId="0" fontId="112" fillId="0" borderId="0" xfId="59" applyNumberFormat="1" applyFont="1" applyFill="1" applyAlignment="1">
      <alignment horizontal="center"/>
    </xf>
    <xf numFmtId="172" fontId="112" fillId="14" borderId="0" xfId="0" applyFont="1" applyFill="1"/>
    <xf numFmtId="173" fontId="112" fillId="14" borderId="0" xfId="0" applyNumberFormat="1" applyFont="1" applyFill="1"/>
    <xf numFmtId="174" fontId="112" fillId="14" borderId="0" xfId="93" applyNumberFormat="1" applyFont="1" applyFill="1" applyBorder="1"/>
    <xf numFmtId="42" fontId="112" fillId="0" borderId="0" xfId="1133" applyNumberFormat="1" applyFont="1" applyFill="1" applyBorder="1"/>
    <xf numFmtId="173" fontId="56" fillId="0" borderId="0" xfId="81" applyNumberFormat="1" applyFont="1" applyFill="1" applyBorder="1" applyProtection="1">
      <protection locked="0"/>
    </xf>
    <xf numFmtId="173" fontId="112" fillId="0" borderId="0" xfId="0" applyNumberFormat="1" applyFont="1"/>
    <xf numFmtId="173" fontId="56" fillId="0" borderId="0" xfId="81" applyNumberFormat="1" applyFont="1" applyFill="1" applyProtection="1"/>
    <xf numFmtId="164" fontId="56" fillId="0" borderId="0" xfId="731" applyNumberFormat="1" applyFont="1" applyFill="1" applyProtection="1"/>
    <xf numFmtId="173" fontId="112" fillId="14" borderId="0" xfId="1133" applyNumberFormat="1" applyFont="1" applyFill="1" applyBorder="1"/>
    <xf numFmtId="173" fontId="112" fillId="0" borderId="0" xfId="1133" applyNumberFormat="1" applyFont="1" applyFill="1" applyBorder="1"/>
    <xf numFmtId="173" fontId="56" fillId="0" borderId="0" xfId="1133" applyNumberFormat="1" applyFont="1" applyFill="1" applyBorder="1" applyProtection="1">
      <protection locked="0"/>
    </xf>
    <xf numFmtId="173" fontId="112" fillId="0" borderId="0" xfId="1133" applyNumberFormat="1" applyFont="1" applyFill="1" applyProtection="1"/>
    <xf numFmtId="173" fontId="135" fillId="0" borderId="0" xfId="0" applyNumberFormat="1" applyFont="1"/>
    <xf numFmtId="42" fontId="135" fillId="0" borderId="3" xfId="1133" applyNumberFormat="1" applyFont="1" applyFill="1" applyBorder="1"/>
    <xf numFmtId="42" fontId="135" fillId="0" borderId="0" xfId="1133" applyNumberFormat="1" applyFont="1" applyFill="1" applyBorder="1"/>
    <xf numFmtId="172" fontId="141" fillId="0" borderId="0" xfId="0" applyFont="1"/>
    <xf numFmtId="44" fontId="112" fillId="14" borderId="0" xfId="93" applyFont="1" applyFill="1" applyBorder="1"/>
    <xf numFmtId="42" fontId="112" fillId="14" borderId="0" xfId="1133" applyNumberFormat="1" applyFont="1" applyFill="1" applyBorder="1"/>
    <xf numFmtId="172" fontId="112" fillId="0" borderId="0" xfId="0" applyFont="1" applyAlignment="1">
      <alignment horizontal="center"/>
    </xf>
    <xf numFmtId="173" fontId="112" fillId="0" borderId="0" xfId="59" applyNumberFormat="1" applyFont="1"/>
    <xf numFmtId="0" fontId="143" fillId="0" borderId="0" xfId="1132" applyFont="1" applyAlignment="1">
      <alignment horizontal="left"/>
    </xf>
    <xf numFmtId="0" fontId="135" fillId="0" borderId="0" xfId="1132" applyFont="1" applyAlignment="1">
      <alignment horizontal="left"/>
    </xf>
    <xf numFmtId="42" fontId="135" fillId="0" borderId="14" xfId="0" applyNumberFormat="1" applyFont="1" applyBorder="1"/>
    <xf numFmtId="164" fontId="56" fillId="0" borderId="0" xfId="266" applyNumberFormat="1" applyFont="1" applyFill="1" applyProtection="1"/>
    <xf numFmtId="42" fontId="112" fillId="0" borderId="0" xfId="1132" applyNumberFormat="1" applyFont="1"/>
    <xf numFmtId="173" fontId="112" fillId="0" borderId="0" xfId="0" applyNumberFormat="1" applyFont="1" applyAlignment="1">
      <alignment horizontal="right"/>
    </xf>
    <xf numFmtId="174" fontId="112" fillId="0" borderId="0" xfId="102" applyNumberFormat="1" applyFont="1" applyFill="1"/>
    <xf numFmtId="4" fontId="46" fillId="0" borderId="0" xfId="0" applyNumberFormat="1" applyFont="1"/>
    <xf numFmtId="172" fontId="112" fillId="0" borderId="0" xfId="0" applyFont="1" applyAlignment="1">
      <alignment horizontal="right"/>
    </xf>
    <xf numFmtId="173" fontId="112" fillId="0" borderId="0" xfId="1133" applyNumberFormat="1" applyFont="1" applyFill="1"/>
    <xf numFmtId="44" fontId="112" fillId="0" borderId="0" xfId="1132" applyNumberFormat="1" applyFont="1"/>
    <xf numFmtId="172" fontId="135" fillId="0" borderId="0" xfId="0" applyFont="1" applyAlignment="1">
      <alignment horizontal="right"/>
    </xf>
    <xf numFmtId="174" fontId="112" fillId="0" borderId="3" xfId="102" applyNumberFormat="1" applyFont="1" applyFill="1" applyBorder="1"/>
    <xf numFmtId="172" fontId="135" fillId="0" borderId="0" xfId="0" applyFont="1" applyAlignment="1">
      <alignment horizontal="left"/>
    </xf>
    <xf numFmtId="174" fontId="112" fillId="0" borderId="14" xfId="102" applyNumberFormat="1" applyFont="1" applyFill="1" applyBorder="1"/>
    <xf numFmtId="174" fontId="112" fillId="0" borderId="0" xfId="1132" applyNumberFormat="1" applyFont="1"/>
    <xf numFmtId="172" fontId="144" fillId="19" borderId="0" xfId="0" applyFont="1" applyFill="1"/>
    <xf numFmtId="172" fontId="100" fillId="0" borderId="0" xfId="0" applyFont="1" applyAlignment="1">
      <alignment vertical="top" wrapText="1"/>
    </xf>
    <xf numFmtId="0" fontId="56" fillId="0" borderId="0" xfId="1132" applyFont="1" applyAlignment="1">
      <alignment horizontal="left"/>
    </xf>
    <xf numFmtId="0" fontId="56" fillId="0" borderId="0" xfId="1132" applyFont="1" applyAlignment="1">
      <alignment horizontal="center" vertical="center"/>
    </xf>
    <xf numFmtId="0" fontId="112" fillId="0" borderId="0" xfId="1132" applyFont="1" applyAlignment="1">
      <alignment horizontal="center" vertical="center"/>
    </xf>
    <xf numFmtId="172" fontId="145" fillId="20" borderId="0" xfId="0" applyFont="1" applyFill="1" applyAlignment="1">
      <alignment horizontal="left"/>
    </xf>
    <xf numFmtId="172" fontId="56" fillId="20" borderId="0" xfId="0" applyFont="1" applyFill="1" applyAlignment="1">
      <alignment horizontal="center"/>
    </xf>
    <xf numFmtId="172" fontId="56" fillId="20" borderId="0" xfId="0" applyFont="1" applyFill="1"/>
    <xf numFmtId="3" fontId="56" fillId="20" borderId="0" xfId="0" applyNumberFormat="1" applyFont="1" applyFill="1" applyAlignment="1">
      <alignment horizontal="center"/>
    </xf>
    <xf numFmtId="10" fontId="56" fillId="14" borderId="0" xfId="266" applyNumberFormat="1" applyFont="1" applyFill="1" applyAlignment="1" applyProtection="1">
      <alignment horizontal="right"/>
      <protection locked="0"/>
    </xf>
    <xf numFmtId="10" fontId="56" fillId="14" borderId="0" xfId="266" applyNumberFormat="1" applyFont="1" applyFill="1" applyAlignment="1" applyProtection="1">
      <alignment vertical="top"/>
      <protection locked="0"/>
    </xf>
    <xf numFmtId="172" fontId="56" fillId="14" borderId="0" xfId="209" applyFont="1" applyFill="1"/>
    <xf numFmtId="0" fontId="56" fillId="14" borderId="0" xfId="59" applyNumberFormat="1" applyFont="1" applyFill="1" applyAlignment="1">
      <alignment horizontal="left"/>
    </xf>
    <xf numFmtId="174" fontId="56" fillId="14" borderId="0" xfId="93" applyNumberFormat="1" applyFont="1" applyFill="1" applyProtection="1">
      <protection locked="0"/>
    </xf>
    <xf numFmtId="174" fontId="56" fillId="14" borderId="7" xfId="93" applyNumberFormat="1" applyFont="1" applyFill="1" applyBorder="1" applyAlignment="1" applyProtection="1">
      <alignment horizontal="center"/>
      <protection locked="0"/>
    </xf>
    <xf numFmtId="173" fontId="56" fillId="14" borderId="0" xfId="59" applyNumberFormat="1" applyFont="1" applyFill="1" applyBorder="1" applyAlignment="1" applyProtection="1">
      <alignment horizontal="center"/>
      <protection locked="0"/>
    </xf>
    <xf numFmtId="172" fontId="56" fillId="14" borderId="0" xfId="1131" applyFont="1" applyFill="1"/>
    <xf numFmtId="1" fontId="52" fillId="14" borderId="0" xfId="59" applyNumberFormat="1" applyFont="1" applyFill="1" applyProtection="1">
      <protection locked="0"/>
    </xf>
    <xf numFmtId="0" fontId="52" fillId="14" borderId="0" xfId="184" applyFont="1" applyFill="1" applyAlignment="1" applyProtection="1">
      <alignment horizontal="left"/>
      <protection locked="0"/>
    </xf>
    <xf numFmtId="173" fontId="52" fillId="14" borderId="0" xfId="59" applyNumberFormat="1" applyFont="1" applyFill="1" applyAlignment="1" applyProtection="1">
      <protection locked="0"/>
    </xf>
    <xf numFmtId="0" fontId="52" fillId="14" borderId="0" xfId="184" applyFont="1" applyFill="1" applyProtection="1">
      <protection locked="0"/>
    </xf>
    <xf numFmtId="174" fontId="52" fillId="14" borderId="9" xfId="93" applyNumberFormat="1" applyFont="1" applyFill="1" applyBorder="1" applyProtection="1">
      <protection locked="0"/>
    </xf>
    <xf numFmtId="174" fontId="52" fillId="14" borderId="0" xfId="93" applyNumberFormat="1" applyFont="1" applyFill="1" applyBorder="1" applyProtection="1">
      <protection locked="0"/>
    </xf>
    <xf numFmtId="41" fontId="52" fillId="14" borderId="1" xfId="0" applyNumberFormat="1" applyFont="1" applyFill="1" applyBorder="1" applyAlignment="1" applyProtection="1">
      <alignment horizontal="right"/>
      <protection locked="0"/>
    </xf>
    <xf numFmtId="0" fontId="56" fillId="14" borderId="0" xfId="59" applyNumberFormat="1" applyFont="1" applyFill="1" applyProtection="1">
      <protection locked="0"/>
    </xf>
    <xf numFmtId="182" fontId="123" fillId="14" borderId="0" xfId="59" applyNumberFormat="1" applyFont="1" applyFill="1" applyProtection="1">
      <protection locked="0"/>
    </xf>
    <xf numFmtId="173" fontId="52" fillId="14" borderId="1" xfId="59" applyNumberFormat="1" applyFont="1" applyFill="1" applyBorder="1" applyAlignment="1" applyProtection="1">
      <protection locked="0"/>
    </xf>
    <xf numFmtId="173" fontId="46" fillId="14" borderId="0" xfId="59" applyNumberFormat="1" applyFont="1" applyFill="1" applyProtection="1">
      <protection locked="0"/>
    </xf>
    <xf numFmtId="174" fontId="46" fillId="14" borderId="0" xfId="93" applyNumberFormat="1" applyFont="1" applyFill="1" applyAlignment="1" applyProtection="1">
      <protection locked="0"/>
    </xf>
    <xf numFmtId="43" fontId="46" fillId="14" borderId="0" xfId="59" applyFont="1" applyFill="1" applyBorder="1" applyAlignment="1" applyProtection="1">
      <alignment horizontal="center"/>
      <protection locked="0"/>
    </xf>
    <xf numFmtId="10" fontId="46" fillId="14" borderId="0" xfId="266" applyNumberFormat="1" applyFont="1" applyFill="1" applyAlignment="1" applyProtection="1">
      <protection locked="0"/>
    </xf>
    <xf numFmtId="0" fontId="46" fillId="0" borderId="0" xfId="398" applyFont="1" applyFill="1" applyAlignment="1">
      <alignment horizontal="center"/>
    </xf>
    <xf numFmtId="2" fontId="46" fillId="0" borderId="0" xfId="398" applyNumberFormat="1" applyFont="1" applyFill="1" applyAlignment="1">
      <alignment horizontal="center"/>
    </xf>
    <xf numFmtId="0" fontId="46" fillId="0" borderId="0" xfId="398" applyFont="1" applyAlignment="1">
      <alignment horizontal="center"/>
    </xf>
    <xf numFmtId="0" fontId="46" fillId="0" borderId="0" xfId="398" applyFont="1" applyAlignment="1">
      <alignment horizontal="center"/>
    </xf>
    <xf numFmtId="0" fontId="46" fillId="0" borderId="0" xfId="398" applyFont="1" applyAlignment="1">
      <alignment horizontal="center"/>
    </xf>
    <xf numFmtId="0" fontId="46" fillId="0" borderId="0" xfId="398" applyFont="1" applyFill="1" applyAlignment="1">
      <alignment horizontal="center"/>
    </xf>
    <xf numFmtId="2" fontId="46" fillId="0" borderId="0" xfId="398" applyNumberFormat="1" applyFont="1" applyFill="1" applyAlignment="1">
      <alignment horizontal="center"/>
    </xf>
    <xf numFmtId="44" fontId="52" fillId="0" borderId="0" xfId="184" applyNumberFormat="1" applyFont="1" applyFill="1" applyProtection="1"/>
    <xf numFmtId="0" fontId="52" fillId="0" borderId="9" xfId="184" applyFont="1" applyBorder="1"/>
    <xf numFmtId="173" fontId="56" fillId="14" borderId="12" xfId="59" applyNumberFormat="1" applyFont="1" applyFill="1" applyBorder="1" applyProtection="1">
      <protection locked="0"/>
    </xf>
    <xf numFmtId="0" fontId="56" fillId="0" borderId="0" xfId="0" applyNumberFormat="1" applyFont="1" applyFill="1" applyBorder="1" applyAlignment="1" applyProtection="1">
      <alignment horizontal="left" vertical="top" wrapText="1"/>
    </xf>
    <xf numFmtId="0" fontId="56" fillId="0" borderId="0" xfId="211" applyNumberFormat="1" applyFont="1" applyFill="1" applyAlignment="1" applyProtection="1">
      <alignment vertical="top" wrapText="1"/>
    </xf>
    <xf numFmtId="0" fontId="56" fillId="0" borderId="0" xfId="188" quotePrefix="1" applyNumberFormat="1" applyFont="1" applyFill="1" applyAlignment="1" applyProtection="1">
      <alignment vertical="top" wrapText="1"/>
    </xf>
    <xf numFmtId="0" fontId="56" fillId="0" borderId="0" xfId="188" applyNumberFormat="1" applyFont="1" applyFill="1" applyAlignment="1" applyProtection="1">
      <alignment vertical="top" wrapText="1"/>
    </xf>
    <xf numFmtId="0" fontId="56" fillId="0" borderId="0" xfId="188" quotePrefix="1" applyNumberFormat="1" applyFont="1" applyFill="1" applyAlignment="1" applyProtection="1">
      <alignment horizontal="left" vertical="top" wrapText="1"/>
    </xf>
    <xf numFmtId="172" fontId="56" fillId="0" borderId="0" xfId="211" applyFont="1" applyFill="1" applyAlignment="1" applyProtection="1">
      <alignment horizontal="center"/>
    </xf>
    <xf numFmtId="49" fontId="56" fillId="0" borderId="0" xfId="211" applyNumberFormat="1" applyFont="1" applyFill="1" applyAlignment="1" applyProtection="1">
      <alignment horizontal="center"/>
    </xf>
    <xf numFmtId="0" fontId="92" fillId="0" borderId="0" xfId="211" applyNumberFormat="1" applyFont="1" applyFill="1" applyAlignment="1" applyProtection="1">
      <alignment vertical="top" wrapText="1"/>
    </xf>
    <xf numFmtId="172" fontId="56" fillId="0" borderId="0" xfId="0" applyFont="1" applyFill="1" applyAlignment="1" applyProtection="1">
      <alignment horizontal="left" wrapText="1"/>
    </xf>
    <xf numFmtId="0" fontId="56" fillId="0" borderId="0" xfId="206" applyFont="1" applyFill="1" applyAlignment="1" applyProtection="1">
      <alignment vertical="top" wrapText="1"/>
    </xf>
    <xf numFmtId="172" fontId="56" fillId="0" borderId="0" xfId="0" applyFont="1" applyFill="1" applyAlignment="1" applyProtection="1">
      <alignment horizontal="left" vertical="center" wrapText="1"/>
    </xf>
    <xf numFmtId="172" fontId="56" fillId="0" borderId="0" xfId="201" applyFont="1" applyFill="1" applyBorder="1" applyAlignment="1" applyProtection="1">
      <alignment horizontal="left"/>
    </xf>
    <xf numFmtId="172" fontId="56" fillId="0" borderId="0" xfId="201" applyFont="1" applyFill="1" applyBorder="1" applyAlignment="1" applyProtection="1">
      <alignment horizontal="left" vertical="top" wrapText="1"/>
    </xf>
    <xf numFmtId="172" fontId="56" fillId="0" borderId="0" xfId="201" applyFont="1" applyFill="1" applyBorder="1" applyAlignment="1" applyProtection="1">
      <alignment horizontal="left" wrapText="1"/>
    </xf>
    <xf numFmtId="172" fontId="56" fillId="0" borderId="0" xfId="201" applyFont="1" applyFill="1" applyAlignment="1" applyProtection="1">
      <alignment horizontal="left" vertical="top" wrapText="1"/>
    </xf>
    <xf numFmtId="172" fontId="63" fillId="0" borderId="19" xfId="201" applyFont="1" applyFill="1" applyBorder="1" applyAlignment="1" applyProtection="1">
      <alignment horizontal="center"/>
    </xf>
    <xf numFmtId="172" fontId="63" fillId="0" borderId="17" xfId="201" applyFont="1" applyFill="1" applyBorder="1" applyAlignment="1" applyProtection="1">
      <alignment horizontal="center"/>
    </xf>
    <xf numFmtId="172" fontId="56" fillId="0" borderId="19" xfId="0" applyFont="1" applyFill="1" applyBorder="1" applyAlignment="1" applyProtection="1">
      <alignment horizontal="center"/>
    </xf>
    <xf numFmtId="172" fontId="56" fillId="0" borderId="20" xfId="0" applyFont="1" applyFill="1" applyBorder="1" applyAlignment="1" applyProtection="1">
      <alignment horizontal="center"/>
    </xf>
    <xf numFmtId="172" fontId="56" fillId="0" borderId="17" xfId="0" applyFont="1" applyFill="1" applyBorder="1" applyAlignment="1" applyProtection="1">
      <alignment horizontal="center"/>
    </xf>
    <xf numFmtId="172" fontId="56" fillId="0" borderId="21" xfId="0" applyFont="1" applyFill="1" applyBorder="1" applyAlignment="1" applyProtection="1">
      <alignment horizontal="center"/>
    </xf>
    <xf numFmtId="172" fontId="63" fillId="0" borderId="22" xfId="201" applyFont="1" applyFill="1" applyBorder="1" applyAlignment="1" applyProtection="1">
      <alignment horizontal="center" wrapText="1"/>
    </xf>
    <xf numFmtId="172" fontId="63" fillId="0" borderId="15" xfId="201" applyFont="1" applyFill="1" applyBorder="1" applyAlignment="1" applyProtection="1">
      <alignment horizontal="center" wrapText="1"/>
    </xf>
    <xf numFmtId="172" fontId="56" fillId="0" borderId="0" xfId="0" applyFont="1" applyFill="1" applyAlignment="1" applyProtection="1">
      <alignment horizontal="left" vertical="top" wrapText="1"/>
    </xf>
    <xf numFmtId="0" fontId="56" fillId="0" borderId="0" xfId="188" applyNumberFormat="1" applyFont="1" applyFill="1" applyAlignment="1" applyProtection="1">
      <alignment horizontal="left" vertical="top" wrapText="1"/>
    </xf>
    <xf numFmtId="172" fontId="63" fillId="15" borderId="16" xfId="0" applyFont="1" applyFill="1" applyBorder="1" applyAlignment="1" applyProtection="1">
      <alignment horizontal="center"/>
    </xf>
    <xf numFmtId="172" fontId="63" fillId="15" borderId="7" xfId="0" applyFont="1" applyFill="1" applyBorder="1" applyAlignment="1" applyProtection="1">
      <alignment horizontal="center"/>
    </xf>
    <xf numFmtId="172" fontId="63" fillId="15" borderId="23" xfId="0" applyFont="1" applyFill="1" applyBorder="1" applyAlignment="1" applyProtection="1">
      <alignment horizontal="center"/>
    </xf>
    <xf numFmtId="0" fontId="63" fillId="15" borderId="16" xfId="212" applyFont="1" applyFill="1" applyBorder="1" applyAlignment="1" applyProtection="1">
      <alignment horizontal="center"/>
    </xf>
    <xf numFmtId="0" fontId="63" fillId="15" borderId="7" xfId="212" applyFont="1" applyFill="1" applyBorder="1" applyAlignment="1" applyProtection="1">
      <alignment horizontal="center"/>
    </xf>
    <xf numFmtId="0" fontId="63" fillId="15" borderId="23" xfId="212" applyFont="1" applyFill="1" applyBorder="1" applyAlignment="1" applyProtection="1">
      <alignment horizontal="center"/>
    </xf>
    <xf numFmtId="172" fontId="63" fillId="0" borderId="0" xfId="0" applyFont="1" applyFill="1" applyAlignment="1" applyProtection="1">
      <alignment horizontal="center"/>
    </xf>
    <xf numFmtId="172" fontId="56" fillId="0" borderId="2" xfId="0" applyFont="1" applyFill="1" applyBorder="1" applyAlignment="1" applyProtection="1">
      <alignment horizontal="center"/>
    </xf>
    <xf numFmtId="0" fontId="85" fillId="0" borderId="0" xfId="188" applyNumberFormat="1" applyFont="1" applyFill="1" applyAlignment="1" applyProtection="1">
      <alignment horizontal="left" vertical="top" wrapText="1"/>
    </xf>
    <xf numFmtId="0" fontId="105" fillId="0" borderId="0" xfId="389" applyFont="1" applyFill="1" applyAlignment="1" applyProtection="1">
      <alignment horizontal="center"/>
    </xf>
    <xf numFmtId="49" fontId="106" fillId="0" borderId="0" xfId="389" applyNumberFormat="1" applyFont="1" applyFill="1" applyBorder="1" applyAlignment="1" applyProtection="1">
      <alignment horizontal="center"/>
    </xf>
    <xf numFmtId="0" fontId="106" fillId="0" borderId="0" xfId="389" applyFont="1" applyFill="1" applyBorder="1" applyAlignment="1" applyProtection="1">
      <alignment horizontal="center"/>
    </xf>
    <xf numFmtId="49" fontId="52" fillId="0" borderId="0" xfId="389" applyNumberFormat="1" applyFont="1" applyFill="1" applyBorder="1" applyAlignment="1" applyProtection="1">
      <alignment horizontal="center"/>
    </xf>
    <xf numFmtId="0" fontId="52" fillId="0" borderId="0" xfId="389" applyFont="1" applyFill="1" applyBorder="1" applyAlignment="1" applyProtection="1">
      <alignment horizontal="center"/>
    </xf>
    <xf numFmtId="0" fontId="106" fillId="0" borderId="0" xfId="184" applyFont="1" applyFill="1" applyAlignment="1" applyProtection="1">
      <alignment horizontal="center"/>
    </xf>
    <xf numFmtId="172" fontId="106" fillId="0" borderId="0" xfId="0" applyFont="1" applyFill="1" applyAlignment="1" applyProtection="1">
      <alignment horizontal="center"/>
    </xf>
    <xf numFmtId="0" fontId="103" fillId="0" borderId="0" xfId="398" applyFont="1" applyFill="1" applyAlignment="1" applyProtection="1">
      <alignment horizontal="center"/>
    </xf>
    <xf numFmtId="0" fontId="125" fillId="0" borderId="0" xfId="184" applyFont="1" applyFill="1" applyAlignment="1" applyProtection="1">
      <alignment horizontal="center"/>
    </xf>
    <xf numFmtId="172" fontId="53" fillId="0" borderId="0" xfId="0" applyFont="1" applyFill="1" applyAlignment="1" applyProtection="1">
      <alignment horizontal="center"/>
    </xf>
    <xf numFmtId="172" fontId="109" fillId="0" borderId="0" xfId="0" applyFont="1" applyFill="1" applyAlignment="1" applyProtection="1">
      <alignment horizontal="center"/>
    </xf>
    <xf numFmtId="172" fontId="52" fillId="0" borderId="0" xfId="0" applyFont="1" applyFill="1" applyAlignment="1" applyProtection="1">
      <alignment horizontal="center"/>
    </xf>
    <xf numFmtId="0" fontId="106" fillId="0" borderId="0" xfId="184" applyFont="1" applyAlignment="1" applyProtection="1">
      <alignment horizontal="center"/>
    </xf>
    <xf numFmtId="172" fontId="109" fillId="0" borderId="0" xfId="0" applyFont="1" applyAlignment="1" applyProtection="1">
      <alignment horizontal="center"/>
    </xf>
    <xf numFmtId="172" fontId="56" fillId="0" borderId="0" xfId="0" applyFont="1" applyFill="1" applyBorder="1" applyAlignment="1" applyProtection="1">
      <alignment horizontal="center"/>
    </xf>
    <xf numFmtId="0" fontId="97" fillId="0" borderId="0" xfId="398" applyFont="1" applyAlignment="1" applyProtection="1">
      <alignment horizontal="center"/>
    </xf>
    <xf numFmtId="0" fontId="46" fillId="0" borderId="0" xfId="398" applyFont="1" applyAlignment="1" applyProtection="1">
      <alignment horizontal="left" vertical="top" wrapText="1"/>
    </xf>
    <xf numFmtId="0" fontId="46" fillId="0" borderId="0" xfId="398" applyFont="1" applyFill="1" applyAlignment="1" applyProtection="1">
      <alignment horizontal="left" vertical="top" wrapText="1"/>
    </xf>
    <xf numFmtId="49" fontId="46" fillId="0" borderId="0" xfId="398" applyNumberFormat="1" applyFont="1" applyAlignment="1" applyProtection="1">
      <alignment horizontal="left" vertical="top" wrapText="1"/>
    </xf>
    <xf numFmtId="173" fontId="97" fillId="0" borderId="30" xfId="59" applyNumberFormat="1" applyFont="1" applyFill="1" applyBorder="1" applyAlignment="1" applyProtection="1">
      <alignment horizontal="center"/>
    </xf>
    <xf numFmtId="173" fontId="97" fillId="0" borderId="6" xfId="59" applyNumberFormat="1" applyFont="1" applyFill="1" applyBorder="1" applyAlignment="1" applyProtection="1">
      <alignment horizontal="center"/>
    </xf>
    <xf numFmtId="173" fontId="97" fillId="0" borderId="31" xfId="59" applyNumberFormat="1" applyFont="1" applyFill="1" applyBorder="1" applyAlignment="1" applyProtection="1">
      <alignment horizontal="center"/>
    </xf>
    <xf numFmtId="172" fontId="46" fillId="0" borderId="0" xfId="0" applyFont="1" applyAlignment="1" applyProtection="1">
      <alignment horizontal="left" vertical="center" wrapText="1"/>
    </xf>
    <xf numFmtId="172" fontId="46" fillId="0" borderId="0" xfId="0" applyFont="1" applyFill="1" applyAlignment="1" applyProtection="1">
      <alignment horizontal="left" wrapText="1"/>
    </xf>
    <xf numFmtId="0" fontId="52" fillId="0" borderId="0" xfId="0" applyNumberFormat="1" applyFont="1" applyAlignment="1" applyProtection="1">
      <alignment horizontal="left" wrapText="1"/>
    </xf>
    <xf numFmtId="0" fontId="56" fillId="0" borderId="0" xfId="1132" applyFont="1" applyAlignment="1">
      <alignment horizontal="left" vertical="top" wrapText="1"/>
    </xf>
    <xf numFmtId="0" fontId="112" fillId="0" borderId="0" xfId="1132" applyFont="1" applyAlignment="1">
      <alignment horizontal="left" vertical="top" wrapText="1"/>
    </xf>
    <xf numFmtId="172" fontId="133" fillId="18" borderId="16" xfId="0" applyFont="1" applyFill="1" applyBorder="1" applyAlignment="1">
      <alignment horizontal="center"/>
    </xf>
    <xf numFmtId="172" fontId="133" fillId="18" borderId="7" xfId="0" applyFont="1" applyFill="1" applyBorder="1" applyAlignment="1">
      <alignment horizontal="center"/>
    </xf>
    <xf numFmtId="172" fontId="133" fillId="18" borderId="23" xfId="0" applyFont="1" applyFill="1" applyBorder="1" applyAlignment="1">
      <alignment horizontal="center"/>
    </xf>
    <xf numFmtId="172" fontId="116" fillId="0" borderId="16" xfId="0" applyFont="1" applyBorder="1" applyAlignment="1">
      <alignment horizontal="center"/>
    </xf>
    <xf numFmtId="172" fontId="116" fillId="0" borderId="7" xfId="0" applyFont="1" applyBorder="1" applyAlignment="1">
      <alignment horizontal="center"/>
    </xf>
    <xf numFmtId="172" fontId="116" fillId="0" borderId="23" xfId="0" applyFont="1" applyBorder="1" applyAlignment="1">
      <alignment horizontal="center"/>
    </xf>
    <xf numFmtId="172" fontId="56" fillId="0" borderId="0" xfId="0" applyFont="1" applyAlignment="1">
      <alignment horizontal="left" vertical="top" wrapText="1"/>
    </xf>
    <xf numFmtId="0" fontId="46" fillId="0" borderId="0" xfId="201" applyNumberFormat="1" applyFont="1" applyFill="1" applyBorder="1" applyAlignment="1" applyProtection="1">
      <alignment horizontal="center"/>
    </xf>
    <xf numFmtId="0" fontId="46" fillId="0" borderId="0" xfId="212" applyFont="1" applyFill="1" applyAlignment="1" applyProtection="1">
      <alignment horizontal="center"/>
    </xf>
    <xf numFmtId="0" fontId="46" fillId="0" borderId="0" xfId="211" applyNumberFormat="1" applyFont="1" applyFill="1" applyAlignment="1" applyProtection="1">
      <alignment horizontal="center"/>
    </xf>
    <xf numFmtId="172" fontId="46" fillId="0" borderId="0" xfId="0" applyFont="1" applyAlignment="1" applyProtection="1">
      <alignment horizontal="left" wrapText="1"/>
    </xf>
  </cellXfs>
  <cellStyles count="1163">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2 2 2" xfId="722" xr:uid="{00000000-0005-0000-0000-000046000000}"/>
    <cellStyle name="Comma [0] 3 2 2 2 2 2" xfId="1124" xr:uid="{406998E1-65D3-4732-A2A4-F2C3D86EA8B3}"/>
    <cellStyle name="Comma [0] 3 2 2 2 3" xfId="944" xr:uid="{615640F2-1C13-48A8-A9E8-96BF3F9745CB}"/>
    <cellStyle name="Comma [0] 3 2 2 3" xfId="634" xr:uid="{00000000-0005-0000-0000-000045000000}"/>
    <cellStyle name="Comma [0] 3 2 2 3 2" xfId="1036" xr:uid="{1BCED9BE-D309-42AF-919B-4132CD4EFD1A}"/>
    <cellStyle name="Comma [0] 3 2 2 4" xfId="856" xr:uid="{1BAC0848-089F-4C8A-8852-7F85BA181DC3}"/>
    <cellStyle name="Comma [0] 3 2 3" xfId="489" xr:uid="{00000000-0005-0000-0000-000047000000}"/>
    <cellStyle name="Comma [0] 3 2 3 2" xfId="678" xr:uid="{00000000-0005-0000-0000-000047000000}"/>
    <cellStyle name="Comma [0] 3 2 3 2 2" xfId="1080" xr:uid="{AA9897C0-6D22-4EAA-B401-407C2D5CC2E5}"/>
    <cellStyle name="Comma [0] 3 2 3 3" xfId="900" xr:uid="{2D97E105-3CC6-4BC4-A354-CD4444B280F1}"/>
    <cellStyle name="Comma [0] 3 2 4" xfId="590" xr:uid="{00000000-0005-0000-0000-000044000000}"/>
    <cellStyle name="Comma [0] 3 2 4 2" xfId="992" xr:uid="{658CC2BD-94EB-4FAA-A80A-60CA46097BCA}"/>
    <cellStyle name="Comma [0] 3 2 5" xfId="812" xr:uid="{1D3A84FA-D047-427B-99EA-9E7998DF8FAF}"/>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0 10 2" xfId="1133" xr:uid="{4D8C58D1-3E8A-47AF-9671-86BF5988F3C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2 2 2" xfId="712" xr:uid="{00000000-0005-0000-0000-000053000000}"/>
    <cellStyle name="Comma 12 2 2 2 2" xfId="1114" xr:uid="{211231CF-B4E4-4853-A05C-D0D0C2146832}"/>
    <cellStyle name="Comma 12 2 2 3" xfId="934" xr:uid="{2F1A9611-F687-440B-B370-6131836917DF}"/>
    <cellStyle name="Comma 12 2 3" xfId="624" xr:uid="{00000000-0005-0000-0000-000052000000}"/>
    <cellStyle name="Comma 12 2 3 2" xfId="1026" xr:uid="{A1DC4B3F-15DC-4221-A1A9-F7C301E0FCA3}"/>
    <cellStyle name="Comma 12 2 4" xfId="846" xr:uid="{324056A7-D5EE-4D68-B51E-C49547B42F85}"/>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3 2 2" xfId="719" xr:uid="{00000000-0005-0000-0000-000057000000}"/>
    <cellStyle name="Comma 12 3 3 2 2 2" xfId="1121" xr:uid="{92E1A4F3-F2CA-42D8-9789-0DD5965B8F6C}"/>
    <cellStyle name="Comma 12 3 3 2 3" xfId="941" xr:uid="{6B1ADEDC-B55A-444D-8566-CB8383DDE263}"/>
    <cellStyle name="Comma 12 3 3 3" xfId="631" xr:uid="{00000000-0005-0000-0000-000056000000}"/>
    <cellStyle name="Comma 12 3 3 3 2" xfId="1033" xr:uid="{B006C6D1-4EF1-477B-B6F5-2B985ADA711C}"/>
    <cellStyle name="Comma 12 3 3 4" xfId="853" xr:uid="{8B8728CA-894F-4766-ABC7-858103C3512D}"/>
    <cellStyle name="Comma 12 3 4" xfId="486" xr:uid="{00000000-0005-0000-0000-000058000000}"/>
    <cellStyle name="Comma 12 3 4 2" xfId="675" xr:uid="{00000000-0005-0000-0000-000058000000}"/>
    <cellStyle name="Comma 12 3 4 2 2" xfId="1077" xr:uid="{02DEDFAA-CB40-4E62-9FA1-929DE99437FA}"/>
    <cellStyle name="Comma 12 3 4 3" xfId="897" xr:uid="{01AAF7C4-1CE7-4308-8647-2CF417D0718B}"/>
    <cellStyle name="Comma 12 3 5" xfId="587" xr:uid="{00000000-0005-0000-0000-000054000000}"/>
    <cellStyle name="Comma 12 3 5 2" xfId="989" xr:uid="{629EA6F6-BB1A-483F-A4CF-8DEC872C2212}"/>
    <cellStyle name="Comma 12 3 6" xfId="809" xr:uid="{D5749EEA-E01D-41F4-8469-2B0BE7FA6BE8}"/>
    <cellStyle name="Comma 12 4" xfId="479" xr:uid="{00000000-0005-0000-0000-000059000000}"/>
    <cellStyle name="Comma 12 4 2" xfId="668" xr:uid="{00000000-0005-0000-0000-000059000000}"/>
    <cellStyle name="Comma 12 4 2 2" xfId="1070" xr:uid="{3D87B576-54B2-4BDD-83AC-1ECA686FAD3F}"/>
    <cellStyle name="Comma 12 4 3" xfId="890" xr:uid="{3AE1CE6A-FCAE-4FE2-8412-1FD4C5A03A36}"/>
    <cellStyle name="Comma 12 5" xfId="580" xr:uid="{00000000-0005-0000-0000-000051000000}"/>
    <cellStyle name="Comma 12 5 2" xfId="982" xr:uid="{E8254974-8E49-418F-8BA8-AE271C702478}"/>
    <cellStyle name="Comma 12 6" xfId="802" xr:uid="{90647C9D-12D0-474D-B3E7-47CFABBD51F8}"/>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3 2 2" xfId="721" xr:uid="{00000000-0005-0000-0000-00005E000000}"/>
    <cellStyle name="Comma 13 2 3 2 2 2" xfId="1123" xr:uid="{BCC61F3D-5B3F-47DB-BB00-F2AF3B5C3FDA}"/>
    <cellStyle name="Comma 13 2 3 2 3" xfId="943" xr:uid="{38EB6445-5C1C-4668-BBCD-03FD99A59CA6}"/>
    <cellStyle name="Comma 13 2 3 3" xfId="633" xr:uid="{00000000-0005-0000-0000-00005D000000}"/>
    <cellStyle name="Comma 13 2 3 3 2" xfId="1035" xr:uid="{ED1D7329-1083-4D59-8914-72BB64D738C2}"/>
    <cellStyle name="Comma 13 2 3 4" xfId="855" xr:uid="{BAADC3F4-C711-48D6-8AF9-28A52D469AF1}"/>
    <cellStyle name="Comma 13 2 4" xfId="488" xr:uid="{00000000-0005-0000-0000-00005F000000}"/>
    <cellStyle name="Comma 13 2 4 2" xfId="677" xr:uid="{00000000-0005-0000-0000-00005F000000}"/>
    <cellStyle name="Comma 13 2 4 2 2" xfId="1079" xr:uid="{BDAE348F-F471-43A0-B2E3-7694387D4BDB}"/>
    <cellStyle name="Comma 13 2 4 3" xfId="899" xr:uid="{572BC48E-AD29-4EAF-96AC-8F92A0CFBB65}"/>
    <cellStyle name="Comma 13 2 5" xfId="589" xr:uid="{00000000-0005-0000-0000-00005B000000}"/>
    <cellStyle name="Comma 13 2 5 2" xfId="991" xr:uid="{F6E1C7CF-836C-438C-A2E3-A98B5ECAD429}"/>
    <cellStyle name="Comma 13 2 6" xfId="811" xr:uid="{1635B421-5924-4025-AF1D-90C04D0D8A02}"/>
    <cellStyle name="Comma 14" xfId="540" xr:uid="{00000000-0005-0000-0000-000060000000}"/>
    <cellStyle name="Comma 15" xfId="544" xr:uid="{00000000-0005-0000-0000-00006A000000}"/>
    <cellStyle name="Comma 158" xfId="774" xr:uid="{00000000-0005-0000-0000-000002000000}"/>
    <cellStyle name="Comma 16" xfId="729" xr:uid="{00000000-0005-0000-0000-00004C020000}"/>
    <cellStyle name="Comma 17" xfId="749" xr:uid="{00000000-0005-0000-0000-000052020000}"/>
    <cellStyle name="Comma 18" xfId="754" xr:uid="{00000000-0005-0000-0000-000008030000}"/>
    <cellStyle name="Comma 19" xfId="735" xr:uid="{00000000-0005-0000-0000-00000C030000}"/>
    <cellStyle name="Comma 2" xfId="78" xr:uid="{00000000-0005-0000-0000-000061000000}"/>
    <cellStyle name="Comma 2 2" xfId="79" xr:uid="{00000000-0005-0000-0000-000062000000}"/>
    <cellStyle name="Comma 20" xfId="750" xr:uid="{00000000-0005-0000-0000-000010030000}"/>
    <cellStyle name="Comma 21" xfId="733" xr:uid="{00000000-0005-0000-0000-000014030000}"/>
    <cellStyle name="Comma 22" xfId="734" xr:uid="{00000000-0005-0000-0000-000018030000}"/>
    <cellStyle name="Comma 23" xfId="765" xr:uid="{00000000-0005-0000-0000-00001C030000}"/>
    <cellStyle name="Comma 24" xfId="739" xr:uid="{00000000-0005-0000-0000-000020030000}"/>
    <cellStyle name="Comma 25" xfId="732" xr:uid="{00000000-0005-0000-0000-000024030000}"/>
    <cellStyle name="Comma 26" xfId="772" xr:uid="{00000000-0005-0000-0000-000000000000}"/>
    <cellStyle name="Comma 27" xfId="1138" xr:uid="{3CDDFD4B-EEBC-4C5C-BC76-2DBA8C75D35B}"/>
    <cellStyle name="Comma 28" xfId="1137" xr:uid="{CF95110B-8F12-490E-86EC-1DBFF0A4F5F7}"/>
    <cellStyle name="Comma 29" xfId="1154" xr:uid="{6DFDCA00-DBF2-42C4-8CE6-0310F0A7E87A}"/>
    <cellStyle name="Comma 3" xfId="80" xr:uid="{00000000-0005-0000-0000-000063000000}"/>
    <cellStyle name="Comma 3 2" xfId="81" xr:uid="{00000000-0005-0000-0000-000064000000}"/>
    <cellStyle name="Comma 30" xfId="1155" xr:uid="{FD54C05D-35DD-484D-ADF0-6917C33B0E60}"/>
    <cellStyle name="Comma 31" xfId="1157" xr:uid="{A537DBA8-C857-4BFB-B5E2-652AD86AD10D}"/>
    <cellStyle name="Comma 4" xfId="82" xr:uid="{00000000-0005-0000-0000-000065000000}"/>
    <cellStyle name="Comma 5" xfId="83" xr:uid="{00000000-0005-0000-0000-000066000000}"/>
    <cellStyle name="Comma 5 2 2" xfId="1148" xr:uid="{1F79F11A-F616-4597-81C3-FCFD49FB14CB}"/>
    <cellStyle name="Comma 6" xfId="84" xr:uid="{00000000-0005-0000-0000-000067000000}"/>
    <cellStyle name="Comma 6 2" xfId="385" xr:uid="{00000000-0005-0000-0000-000068000000}"/>
    <cellStyle name="Comma 6 2 2" xfId="438" xr:uid="{00000000-0005-0000-0000-000069000000}"/>
    <cellStyle name="Comma 6 2 2 2" xfId="526" xr:uid="{00000000-0005-0000-0000-00006A000000}"/>
    <cellStyle name="Comma 6 2 2 2 2" xfId="715" xr:uid="{00000000-0005-0000-0000-00006A000000}"/>
    <cellStyle name="Comma 6 2 2 2 2 2" xfId="1117" xr:uid="{15C3B376-9D8B-4CC0-BBF3-FAA86B3CD0B1}"/>
    <cellStyle name="Comma 6 2 2 2 3" xfId="937" xr:uid="{6EA8F7C7-67C4-4325-A999-B4128A8B70EF}"/>
    <cellStyle name="Comma 6 2 2 3" xfId="627" xr:uid="{00000000-0005-0000-0000-000069000000}"/>
    <cellStyle name="Comma 6 2 2 3 2" xfId="1029" xr:uid="{7668F05A-EF50-4A8B-97FF-598F20B7209B}"/>
    <cellStyle name="Comma 6 2 2 4" xfId="849" xr:uid="{08EB75D4-490C-4DEA-BB0B-5F0496CFCCE8}"/>
    <cellStyle name="Comma 6 2 3" xfId="482" xr:uid="{00000000-0005-0000-0000-00006B000000}"/>
    <cellStyle name="Comma 6 2 3 2" xfId="671" xr:uid="{00000000-0005-0000-0000-00006B000000}"/>
    <cellStyle name="Comma 6 2 3 2 2" xfId="1073" xr:uid="{48B4868E-9110-4A1B-86A7-435D6E8A0ACE}"/>
    <cellStyle name="Comma 6 2 3 3" xfId="893" xr:uid="{BF21618E-CA2C-4D5E-A656-049BF696967D}"/>
    <cellStyle name="Comma 6 2 4" xfId="583" xr:uid="{00000000-0005-0000-0000-000068000000}"/>
    <cellStyle name="Comma 6 2 4 2" xfId="985" xr:uid="{AD822721-8E09-453E-8DFD-FAFA5FC09577}"/>
    <cellStyle name="Comma 6 2 5" xfId="805" xr:uid="{07B93BA0-BE4F-41EE-886D-AC364B76EC9F}"/>
    <cellStyle name="Comma 7" xfId="85" xr:uid="{00000000-0005-0000-0000-00006C000000}"/>
    <cellStyle name="Comma 8" xfId="86" xr:uid="{00000000-0005-0000-0000-00006D000000}"/>
    <cellStyle name="Comma 8 2" xfId="87" xr:uid="{00000000-0005-0000-0000-00006E000000}"/>
    <cellStyle name="Comma 8 2 2" xfId="365" xr:uid="{00000000-0005-0000-0000-00006F000000}"/>
    <cellStyle name="Comma 9" xfId="88" xr:uid="{00000000-0005-0000-0000-000070000000}"/>
    <cellStyle name="Comma 9 2" xfId="366" xr:uid="{00000000-0005-0000-0000-000071000000}"/>
    <cellStyle name="Comma Input" xfId="89" xr:uid="{00000000-0005-0000-0000-000072000000}"/>
    <cellStyle name="Comma0" xfId="90" xr:uid="{00000000-0005-0000-0000-000073000000}"/>
    <cellStyle name="Company Name" xfId="91" xr:uid="{00000000-0005-0000-0000-000074000000}"/>
    <cellStyle name="Config Data" xfId="92" xr:uid="{00000000-0005-0000-0000-000075000000}"/>
    <cellStyle name="Currency" xfId="93" builtinId="4"/>
    <cellStyle name="Currency [0] 2" xfId="771" xr:uid="{00000000-0005-0000-0000-000004000000}"/>
    <cellStyle name="Currency [1]" xfId="94" xr:uid="{00000000-0005-0000-0000-000077000000}"/>
    <cellStyle name="Currency [2]" xfId="95" xr:uid="{00000000-0005-0000-0000-000078000000}"/>
    <cellStyle name="Currency [3]" xfId="96" xr:uid="{00000000-0005-0000-0000-000079000000}"/>
    <cellStyle name="Currency 0.0" xfId="97" xr:uid="{00000000-0005-0000-0000-00007A000000}"/>
    <cellStyle name="Currency 0.00" xfId="98" xr:uid="{00000000-0005-0000-0000-00007B000000}"/>
    <cellStyle name="Currency 0.000" xfId="99" xr:uid="{00000000-0005-0000-0000-00007C000000}"/>
    <cellStyle name="Currency 0.0000" xfId="100" xr:uid="{00000000-0005-0000-0000-00007D000000}"/>
    <cellStyle name="Currency 10" xfId="755" xr:uid="{00000000-0005-0000-0000-000011030000}"/>
    <cellStyle name="Currency 11" xfId="741" xr:uid="{00000000-0005-0000-0000-000015030000}"/>
    <cellStyle name="Currency 12" xfId="744" xr:uid="{00000000-0005-0000-0000-000019030000}"/>
    <cellStyle name="Currency 13" xfId="756" xr:uid="{00000000-0005-0000-0000-00001D030000}"/>
    <cellStyle name="Currency 14" xfId="766" xr:uid="{00000000-0005-0000-0000-000021030000}"/>
    <cellStyle name="Currency 15" xfId="761" xr:uid="{00000000-0005-0000-0000-000025030000}"/>
    <cellStyle name="Currency 16" xfId="770" xr:uid="{00000000-0005-0000-0000-000003000000}"/>
    <cellStyle name="Currency 17" xfId="1136" xr:uid="{65AEB70C-8479-40F6-9D67-F2248364F4DD}"/>
    <cellStyle name="Currency 18" xfId="1151" xr:uid="{15C98971-1039-492B-9BA8-099AA0769BE7}"/>
    <cellStyle name="Currency 19" xfId="1158" xr:uid="{7E68E5B1-CF6C-47F2-8199-9BC1E4BC8BEF}"/>
    <cellStyle name="Currency 2" xfId="101" xr:uid="{00000000-0005-0000-0000-00007E000000}"/>
    <cellStyle name="Currency 2 2" xfId="102" xr:uid="{00000000-0005-0000-0000-00007F000000}"/>
    <cellStyle name="Currency 20" xfId="1150" xr:uid="{099CA4A6-0D9B-49A5-93E0-7C550AA92002}"/>
    <cellStyle name="Currency 21" xfId="1139" xr:uid="{FECAF7BE-5045-4899-92C7-6483D4921EDA}"/>
    <cellStyle name="Currency 3" xfId="103" xr:uid="{00000000-0005-0000-0000-000080000000}"/>
    <cellStyle name="Currency 3 2" xfId="104" xr:uid="{00000000-0005-0000-0000-000081000000}"/>
    <cellStyle name="Currency 4" xfId="105" xr:uid="{00000000-0005-0000-0000-000082000000}"/>
    <cellStyle name="Currency 5" xfId="545" xr:uid="{00000000-0005-0000-0000-0000A6000000}"/>
    <cellStyle name="Currency 6" xfId="730" xr:uid="{00000000-0005-0000-0000-00004D020000}"/>
    <cellStyle name="Currency 7" xfId="748" xr:uid="{00000000-0005-0000-0000-000067020000}"/>
    <cellStyle name="Currency 8" xfId="740" xr:uid="{00000000-0005-0000-0000-000009030000}"/>
    <cellStyle name="Currency 9" xfId="743" xr:uid="{00000000-0005-0000-0000-00000D030000}"/>
    <cellStyle name="Currency Input" xfId="106" xr:uid="{00000000-0005-0000-0000-000083000000}"/>
    <cellStyle name="Currency0" xfId="107" xr:uid="{00000000-0005-0000-0000-000084000000}"/>
    <cellStyle name="d" xfId="108" xr:uid="{00000000-0005-0000-0000-000085000000}"/>
    <cellStyle name="d," xfId="109" xr:uid="{00000000-0005-0000-0000-000086000000}"/>
    <cellStyle name="d1" xfId="110" xr:uid="{00000000-0005-0000-0000-000087000000}"/>
    <cellStyle name="d1," xfId="111" xr:uid="{00000000-0005-0000-0000-000088000000}"/>
    <cellStyle name="d2" xfId="112" xr:uid="{00000000-0005-0000-0000-000089000000}"/>
    <cellStyle name="d2," xfId="113" xr:uid="{00000000-0005-0000-0000-00008A000000}"/>
    <cellStyle name="d3" xfId="114" xr:uid="{00000000-0005-0000-0000-00008B000000}"/>
    <cellStyle name="Dash" xfId="115" xr:uid="{00000000-0005-0000-0000-00008C000000}"/>
    <cellStyle name="Date" xfId="116" xr:uid="{00000000-0005-0000-0000-00008D000000}"/>
    <cellStyle name="Date [Abbreviated]" xfId="117" xr:uid="{00000000-0005-0000-0000-00008E000000}"/>
    <cellStyle name="Date [Long Europe]" xfId="118" xr:uid="{00000000-0005-0000-0000-00008F000000}"/>
    <cellStyle name="Date [Long U.S.]" xfId="119" xr:uid="{00000000-0005-0000-0000-000090000000}"/>
    <cellStyle name="Date [Short Europe]" xfId="120" xr:uid="{00000000-0005-0000-0000-000091000000}"/>
    <cellStyle name="Date [Short U.S.]" xfId="121" xr:uid="{00000000-0005-0000-0000-000092000000}"/>
    <cellStyle name="Date_ITCM 2010 Template" xfId="122" xr:uid="{00000000-0005-0000-0000-000093000000}"/>
    <cellStyle name="Define$0" xfId="123" xr:uid="{00000000-0005-0000-0000-000094000000}"/>
    <cellStyle name="Define$1" xfId="124" xr:uid="{00000000-0005-0000-0000-000095000000}"/>
    <cellStyle name="Define$2" xfId="125" xr:uid="{00000000-0005-0000-0000-000096000000}"/>
    <cellStyle name="Define0" xfId="126" xr:uid="{00000000-0005-0000-0000-000097000000}"/>
    <cellStyle name="Define1" xfId="127" xr:uid="{00000000-0005-0000-0000-000098000000}"/>
    <cellStyle name="Define1x" xfId="128" xr:uid="{00000000-0005-0000-0000-000099000000}"/>
    <cellStyle name="Define2" xfId="129" xr:uid="{00000000-0005-0000-0000-00009A000000}"/>
    <cellStyle name="Define2x" xfId="130" xr:uid="{00000000-0005-0000-0000-00009B000000}"/>
    <cellStyle name="Dollar" xfId="131" xr:uid="{00000000-0005-0000-0000-00009C000000}"/>
    <cellStyle name="e" xfId="132" xr:uid="{00000000-0005-0000-0000-00009D000000}"/>
    <cellStyle name="e1" xfId="133" xr:uid="{00000000-0005-0000-0000-00009E000000}"/>
    <cellStyle name="e2" xfId="134" xr:uid="{00000000-0005-0000-0000-00009F000000}"/>
    <cellStyle name="Euro" xfId="135" xr:uid="{00000000-0005-0000-0000-0000A0000000}"/>
    <cellStyle name="Fixed" xfId="136" xr:uid="{00000000-0005-0000-0000-0000A1000000}"/>
    <cellStyle name="FOOTER - Style1" xfId="137" xr:uid="{00000000-0005-0000-0000-0000A2000000}"/>
    <cellStyle name="g" xfId="138" xr:uid="{00000000-0005-0000-0000-0000A3000000}"/>
    <cellStyle name="general" xfId="139" xr:uid="{00000000-0005-0000-0000-0000A4000000}"/>
    <cellStyle name="General [C]" xfId="140" xr:uid="{00000000-0005-0000-0000-0000A5000000}"/>
    <cellStyle name="General [R]" xfId="141" xr:uid="{00000000-0005-0000-0000-0000A6000000}"/>
    <cellStyle name="Green" xfId="142" xr:uid="{00000000-0005-0000-0000-0000A7000000}"/>
    <cellStyle name="grey" xfId="143" xr:uid="{00000000-0005-0000-0000-0000A8000000}"/>
    <cellStyle name="Header1" xfId="144" xr:uid="{00000000-0005-0000-0000-0000A9000000}"/>
    <cellStyle name="Header2" xfId="145" xr:uid="{00000000-0005-0000-0000-0000AA000000}"/>
    <cellStyle name="Heading" xfId="146" xr:uid="{00000000-0005-0000-0000-0000AB000000}"/>
    <cellStyle name="Heading 1" xfId="147" builtinId="16" customBuiltin="1"/>
    <cellStyle name="Heading 1 2" xfId="546" xr:uid="{00000000-0005-0000-0000-0000DC000000}"/>
    <cellStyle name="Heading 2" xfId="148" builtinId="17" customBuiltin="1"/>
    <cellStyle name="Heading 2 2" xfId="149" xr:uid="{00000000-0005-0000-0000-0000AE000000}"/>
    <cellStyle name="Heading 2 3" xfId="547" xr:uid="{00000000-0005-0000-0000-0000DD000000}"/>
    <cellStyle name="Heading No Underline" xfId="150" xr:uid="{00000000-0005-0000-0000-0000AF000000}"/>
    <cellStyle name="Heading With Underline" xfId="151" xr:uid="{00000000-0005-0000-0000-0000B0000000}"/>
    <cellStyle name="Heading1" xfId="152" xr:uid="{00000000-0005-0000-0000-0000B1000000}"/>
    <cellStyle name="Heading2" xfId="153" xr:uid="{00000000-0005-0000-0000-0000B2000000}"/>
    <cellStyle name="Headline" xfId="154" xr:uid="{00000000-0005-0000-0000-0000B3000000}"/>
    <cellStyle name="Highlight" xfId="155" xr:uid="{00000000-0005-0000-0000-0000B4000000}"/>
    <cellStyle name="Hyperlink 2" xfId="156" xr:uid="{00000000-0005-0000-0000-0000B5000000}"/>
    <cellStyle name="in" xfId="157" xr:uid="{00000000-0005-0000-0000-0000B6000000}"/>
    <cellStyle name="Indented [0]" xfId="158" xr:uid="{00000000-0005-0000-0000-0000B7000000}"/>
    <cellStyle name="Indented [2]" xfId="159" xr:uid="{00000000-0005-0000-0000-0000B8000000}"/>
    <cellStyle name="Indented [4]" xfId="160" xr:uid="{00000000-0005-0000-0000-0000B9000000}"/>
    <cellStyle name="Indented [6]" xfId="161" xr:uid="{00000000-0005-0000-0000-0000BA000000}"/>
    <cellStyle name="Input [yellow]" xfId="162" xr:uid="{00000000-0005-0000-0000-0000BB000000}"/>
    <cellStyle name="Input$0" xfId="163" xr:uid="{00000000-0005-0000-0000-0000BC000000}"/>
    <cellStyle name="Input$1" xfId="164" xr:uid="{00000000-0005-0000-0000-0000BD000000}"/>
    <cellStyle name="Input$2" xfId="165" xr:uid="{00000000-0005-0000-0000-0000BE000000}"/>
    <cellStyle name="Input0" xfId="166" xr:uid="{00000000-0005-0000-0000-0000BF000000}"/>
    <cellStyle name="Input1" xfId="167" xr:uid="{00000000-0005-0000-0000-0000C0000000}"/>
    <cellStyle name="Input1x" xfId="168" xr:uid="{00000000-0005-0000-0000-0000C1000000}"/>
    <cellStyle name="Input2" xfId="169" xr:uid="{00000000-0005-0000-0000-0000C2000000}"/>
    <cellStyle name="Input2x" xfId="170" xr:uid="{00000000-0005-0000-0000-0000C3000000}"/>
    <cellStyle name="lborder" xfId="171" xr:uid="{00000000-0005-0000-0000-0000C4000000}"/>
    <cellStyle name="LeftSubtitle" xfId="172" xr:uid="{00000000-0005-0000-0000-0000C5000000}"/>
    <cellStyle name="Lines" xfId="173" xr:uid="{00000000-0005-0000-0000-0000C6000000}"/>
    <cellStyle name="m" xfId="174" xr:uid="{00000000-0005-0000-0000-0000C7000000}"/>
    <cellStyle name="m1" xfId="175" xr:uid="{00000000-0005-0000-0000-0000C8000000}"/>
    <cellStyle name="m2" xfId="176" xr:uid="{00000000-0005-0000-0000-0000C9000000}"/>
    <cellStyle name="m3" xfId="177" xr:uid="{00000000-0005-0000-0000-0000CA000000}"/>
    <cellStyle name="Multiple" xfId="178" xr:uid="{00000000-0005-0000-0000-0000CB000000}"/>
    <cellStyle name="Negative" xfId="179" xr:uid="{00000000-0005-0000-0000-0000CC000000}"/>
    <cellStyle name="no dec" xfId="180" xr:uid="{00000000-0005-0000-0000-0000CD000000}"/>
    <cellStyle name="Normal" xfId="0" builtinId="0"/>
    <cellStyle name="Normal - Style1" xfId="181" xr:uid="{00000000-0005-0000-0000-0000CF000000}"/>
    <cellStyle name="Normal 10" xfId="182" xr:uid="{00000000-0005-0000-0000-0000D0000000}"/>
    <cellStyle name="Normal 10 2" xfId="367" xr:uid="{00000000-0005-0000-0000-0000D1000000}"/>
    <cellStyle name="Normal 10 2 2" xfId="421" xr:uid="{00000000-0005-0000-0000-0000D2000000}"/>
    <cellStyle name="Normal 10 2 2 2" xfId="509" xr:uid="{00000000-0005-0000-0000-0000D3000000}"/>
    <cellStyle name="Normal 10 2 2 2 2" xfId="698" xr:uid="{00000000-0005-0000-0000-0000D3000000}"/>
    <cellStyle name="Normal 10 2 2 2 2 2" xfId="1100" xr:uid="{061E185F-5FCB-4DF0-ADE4-D8E43BE7761A}"/>
    <cellStyle name="Normal 10 2 2 2 3" xfId="920" xr:uid="{914A6D6B-6576-49F7-B153-D087F559DA57}"/>
    <cellStyle name="Normal 10 2 2 3" xfId="610" xr:uid="{00000000-0005-0000-0000-0000D2000000}"/>
    <cellStyle name="Normal 10 2 2 3 2" xfId="1012" xr:uid="{DE100C85-728F-4DC1-8B7F-E1E1B20EBF3D}"/>
    <cellStyle name="Normal 10 2 2 4" xfId="832" xr:uid="{ABBABB7D-79D5-44BC-B6D1-956B9F915A54}"/>
    <cellStyle name="Normal 10 2 3" xfId="465" xr:uid="{00000000-0005-0000-0000-0000D4000000}"/>
    <cellStyle name="Normal 10 2 3 2" xfId="654" xr:uid="{00000000-0005-0000-0000-0000D4000000}"/>
    <cellStyle name="Normal 10 2 3 2 2" xfId="1056" xr:uid="{C2A610ED-7412-4998-B1FE-014434E3AA60}"/>
    <cellStyle name="Normal 10 2 3 3" xfId="876" xr:uid="{DA58ADAF-8E67-4BD4-A955-038DDAACCA95}"/>
    <cellStyle name="Normal 10 2 4" xfId="566" xr:uid="{00000000-0005-0000-0000-0000D1000000}"/>
    <cellStyle name="Normal 10 2 4 2" xfId="968" xr:uid="{4FD742DD-2C25-4A57-AA41-3E97001E6B8E}"/>
    <cellStyle name="Normal 10 2 5" xfId="788" xr:uid="{95E8F763-FDBD-4F33-90C7-2D2A4BE39A6C}"/>
    <cellStyle name="Normal 10 3" xfId="390" xr:uid="{00000000-0005-0000-0000-0000D5000000}"/>
    <cellStyle name="Normal 10 4" xfId="408" xr:uid="{00000000-0005-0000-0000-0000D6000000}"/>
    <cellStyle name="Normal 10 4 2" xfId="496" xr:uid="{00000000-0005-0000-0000-0000D7000000}"/>
    <cellStyle name="Normal 10 4 2 2" xfId="685" xr:uid="{00000000-0005-0000-0000-0000D7000000}"/>
    <cellStyle name="Normal 10 4 2 2 2" xfId="1087" xr:uid="{AB936F5D-673F-46C5-B898-404FE31B00DE}"/>
    <cellStyle name="Normal 10 4 2 3" xfId="907" xr:uid="{9917BA9C-2CF6-4D62-AF60-7BADE3EBEDD4}"/>
    <cellStyle name="Normal 10 4 3" xfId="597" xr:uid="{00000000-0005-0000-0000-0000D6000000}"/>
    <cellStyle name="Normal 10 4 3 2" xfId="999" xr:uid="{C7C63829-C932-4918-A27A-DA8972CA2DF0}"/>
    <cellStyle name="Normal 10 4 4" xfId="819" xr:uid="{B0A807FB-753F-4614-ABAD-F8218D03BA31}"/>
    <cellStyle name="Normal 10 5" xfId="452" xr:uid="{00000000-0005-0000-0000-0000D8000000}"/>
    <cellStyle name="Normal 10 5 2" xfId="641" xr:uid="{00000000-0005-0000-0000-0000D8000000}"/>
    <cellStyle name="Normal 10 5 2 2" xfId="1043" xr:uid="{AC915218-951D-4764-87AB-DAF7155E0240}"/>
    <cellStyle name="Normal 10 5 3" xfId="863" xr:uid="{958760AA-6EED-4B89-8B3C-ECE09340C09F}"/>
    <cellStyle name="Normal 10 6" xfId="548" xr:uid="{00000000-0005-0000-0000-0000D0000000}"/>
    <cellStyle name="Normal 10 6 2" xfId="953" xr:uid="{8536B07D-619E-4CD0-981D-F405500C7744}"/>
    <cellStyle name="Normal 10 7" xfId="775" xr:uid="{06338903-9B91-4333-8E3D-99CD11532E38}"/>
    <cellStyle name="Normal 11" xfId="183" xr:uid="{00000000-0005-0000-0000-0000D9000000}"/>
    <cellStyle name="Normal 12" xfId="380" xr:uid="{00000000-0005-0000-0000-0000DA000000}"/>
    <cellStyle name="Normal 12 2" xfId="389" xr:uid="{00000000-0005-0000-0000-0000DB000000}"/>
    <cellStyle name="Normal 12 2 2" xfId="401" xr:uid="{00000000-0005-0000-0000-0000DC000000}"/>
    <cellStyle name="Normal 12 2 2 2" xfId="448" xr:uid="{00000000-0005-0000-0000-0000DD000000}"/>
    <cellStyle name="Normal 12 2 2 2 2" xfId="536" xr:uid="{00000000-0005-0000-0000-0000DE000000}"/>
    <cellStyle name="Normal 12 2 2 2 2 2" xfId="725" xr:uid="{00000000-0005-0000-0000-0000DE000000}"/>
    <cellStyle name="Normal 12 2 2 2 2 2 2" xfId="1127" xr:uid="{BB6640EA-A5AF-4728-972F-1D9E833E79BF}"/>
    <cellStyle name="Normal 12 2 2 2 2 3" xfId="947" xr:uid="{2D3226E1-D6F5-4C72-A1E1-863E8CEC50AE}"/>
    <cellStyle name="Normal 12 2 2 2 3" xfId="637" xr:uid="{00000000-0005-0000-0000-0000DD000000}"/>
    <cellStyle name="Normal 12 2 2 2 3 2" xfId="1039" xr:uid="{EAAF2D4D-B58E-4357-8F84-7EADE1EB91BE}"/>
    <cellStyle name="Normal 12 2 2 2 4" xfId="859" xr:uid="{859D3010-F91B-442A-8613-2E8B8089ED7C}"/>
    <cellStyle name="Normal 12 2 2 3" xfId="492" xr:uid="{00000000-0005-0000-0000-0000DF000000}"/>
    <cellStyle name="Normal 12 2 2 3 2" xfId="681" xr:uid="{00000000-0005-0000-0000-0000DF000000}"/>
    <cellStyle name="Normal 12 2 2 3 2 2" xfId="1083" xr:uid="{E1A09F43-D5B1-4152-BA08-7335EFEEA678}"/>
    <cellStyle name="Normal 12 2 2 3 3" xfId="903" xr:uid="{A0DA2C8C-9572-4FB4-B461-5A7E091FB90A}"/>
    <cellStyle name="Normal 12 2 2 4" xfId="593" xr:uid="{00000000-0005-0000-0000-0000DC000000}"/>
    <cellStyle name="Normal 12 2 2 4 2" xfId="995" xr:uid="{9BFCD343-EC1D-4C71-AD0F-AE83E4095794}"/>
    <cellStyle name="Normal 12 2 2 5" xfId="815" xr:uid="{CD81C57D-5D75-4BDA-8A0A-AE4E7F18A0A4}"/>
    <cellStyle name="Normal 12 2 3" xfId="440" xr:uid="{00000000-0005-0000-0000-0000E0000000}"/>
    <cellStyle name="Normal 12 2 3 2" xfId="528" xr:uid="{00000000-0005-0000-0000-0000E1000000}"/>
    <cellStyle name="Normal 12 2 3 2 2" xfId="717" xr:uid="{00000000-0005-0000-0000-0000E1000000}"/>
    <cellStyle name="Normal 12 2 3 2 2 2" xfId="1119" xr:uid="{897ED382-6B2E-4300-B764-FC8BB663630D}"/>
    <cellStyle name="Normal 12 2 3 2 3" xfId="939" xr:uid="{594BD7ED-93E9-4AB1-AD3B-4588A9368CAE}"/>
    <cellStyle name="Normal 12 2 3 3" xfId="629" xr:uid="{00000000-0005-0000-0000-0000E0000000}"/>
    <cellStyle name="Normal 12 2 3 3 2" xfId="1031" xr:uid="{1AED7B3B-A568-42E3-A580-BB0BC7C796DF}"/>
    <cellStyle name="Normal 12 2 3 4" xfId="851" xr:uid="{744226F9-AC7C-4A34-9B89-3AEC45837784}"/>
    <cellStyle name="Normal 12 2 4" xfId="484" xr:uid="{00000000-0005-0000-0000-0000E2000000}"/>
    <cellStyle name="Normal 12 2 4 2" xfId="673" xr:uid="{00000000-0005-0000-0000-0000E2000000}"/>
    <cellStyle name="Normal 12 2 4 2 2" xfId="1075" xr:uid="{AD03E844-197D-47F1-ACC6-3A1294003B84}"/>
    <cellStyle name="Normal 12 2 4 3" xfId="895" xr:uid="{6A08503E-7ABC-4750-A994-7684792A45E3}"/>
    <cellStyle name="Normal 12 2 5" xfId="585" xr:uid="{00000000-0005-0000-0000-0000DB000000}"/>
    <cellStyle name="Normal 12 2 5 2" xfId="987" xr:uid="{52F7332D-C1D0-48C1-A0EC-DFD6A027598D}"/>
    <cellStyle name="Normal 12 2 6" xfId="807" xr:uid="{C63EC713-D2F1-4140-85F0-2B43479DFD7D}"/>
    <cellStyle name="Normal 12 3" xfId="434" xr:uid="{00000000-0005-0000-0000-0000E3000000}"/>
    <cellStyle name="Normal 12 3 2" xfId="522" xr:uid="{00000000-0005-0000-0000-0000E4000000}"/>
    <cellStyle name="Normal 12 3 2 2" xfId="711" xr:uid="{00000000-0005-0000-0000-0000E4000000}"/>
    <cellStyle name="Normal 12 3 2 2 2" xfId="1113" xr:uid="{5B07C03C-A96D-4384-9C35-53784D35BCE7}"/>
    <cellStyle name="Normal 12 3 2 3" xfId="933" xr:uid="{406F40DF-7EF5-4F02-AB06-69FA35FF6D9C}"/>
    <cellStyle name="Normal 12 3 3" xfId="623" xr:uid="{00000000-0005-0000-0000-0000E3000000}"/>
    <cellStyle name="Normal 12 3 3 2" xfId="1025" xr:uid="{38ECB7EC-DAE1-466A-93C1-736D990C05A9}"/>
    <cellStyle name="Normal 12 3 4" xfId="845" xr:uid="{91E6FD1F-F0FA-427C-9E5C-523173AE5C95}"/>
    <cellStyle name="Normal 12 4" xfId="478" xr:uid="{00000000-0005-0000-0000-0000E5000000}"/>
    <cellStyle name="Normal 12 4 2" xfId="667" xr:uid="{00000000-0005-0000-0000-0000E5000000}"/>
    <cellStyle name="Normal 12 4 2 2" xfId="1069" xr:uid="{9C2805A1-14CE-4D7D-9707-F245B2F09CB6}"/>
    <cellStyle name="Normal 12 4 3" xfId="889" xr:uid="{5A63169D-A296-4E78-BC1C-24D55E294C6D}"/>
    <cellStyle name="Normal 12 5" xfId="579" xr:uid="{00000000-0005-0000-0000-0000DA000000}"/>
    <cellStyle name="Normal 12 5 2" xfId="981" xr:uid="{9D79E5A3-2041-4A18-A571-5662B59A64F3}"/>
    <cellStyle name="Normal 12 6" xfId="801" xr:uid="{0592A37C-4F54-4428-AECC-C640BFA0803C}"/>
    <cellStyle name="Normal 12 7" xfId="1141" xr:uid="{E7B024DD-EE38-4075-BBCA-E281F74052CD}"/>
    <cellStyle name="Normal 13" xfId="388" xr:uid="{00000000-0005-0000-0000-0000E6000000}"/>
    <cellStyle name="Normal 13 2" xfId="393" xr:uid="{00000000-0005-0000-0000-0000E7000000}"/>
    <cellStyle name="Normal 13 2 2" xfId="404" xr:uid="{00000000-0005-0000-0000-0000E8000000}"/>
    <cellStyle name="Normal 13 2 2 2" xfId="449" xr:uid="{00000000-0005-0000-0000-0000E9000000}"/>
    <cellStyle name="Normal 13 2 2 2 2" xfId="537" xr:uid="{00000000-0005-0000-0000-0000EA000000}"/>
    <cellStyle name="Normal 13 2 2 2 2 2" xfId="726" xr:uid="{00000000-0005-0000-0000-0000EA000000}"/>
    <cellStyle name="Normal 13 2 2 2 2 2 2" xfId="1128" xr:uid="{59CB25DF-FC00-49AE-814B-AAC9C0D27B27}"/>
    <cellStyle name="Normal 13 2 2 2 2 3" xfId="948" xr:uid="{FC5D856A-4412-4760-9FD6-269B28AA41E1}"/>
    <cellStyle name="Normal 13 2 2 2 3" xfId="638" xr:uid="{00000000-0005-0000-0000-0000E9000000}"/>
    <cellStyle name="Normal 13 2 2 2 3 2" xfId="1040" xr:uid="{7527B988-9CA6-485B-83FB-FDCB37C2C88E}"/>
    <cellStyle name="Normal 13 2 2 2 4" xfId="860" xr:uid="{9BFD1E29-58B0-410D-A1BE-3E94A2D510A7}"/>
    <cellStyle name="Normal 13 2 2 3" xfId="493" xr:uid="{00000000-0005-0000-0000-0000EB000000}"/>
    <cellStyle name="Normal 13 2 2 3 2" xfId="682" xr:uid="{00000000-0005-0000-0000-0000EB000000}"/>
    <cellStyle name="Normal 13 2 2 3 2 2" xfId="1084" xr:uid="{70DFC258-15C4-4E80-9736-A09C1F267720}"/>
    <cellStyle name="Normal 13 2 2 3 3" xfId="904" xr:uid="{28C85702-7095-43B1-BE5E-A56AA6E8694A}"/>
    <cellStyle name="Normal 13 2 2 4" xfId="594" xr:uid="{00000000-0005-0000-0000-0000E8000000}"/>
    <cellStyle name="Normal 13 2 2 4 2" xfId="996" xr:uid="{5ADCDD9E-ADC7-478C-B038-C72CABCBFAD2}"/>
    <cellStyle name="Normal 13 2 2 5" xfId="816" xr:uid="{0595892D-AE9C-47E3-B717-3BB9DF700925}"/>
    <cellStyle name="Normal 13 2 3" xfId="443" xr:uid="{00000000-0005-0000-0000-0000EC000000}"/>
    <cellStyle name="Normal 13 2 3 2" xfId="531" xr:uid="{00000000-0005-0000-0000-0000ED000000}"/>
    <cellStyle name="Normal 13 2 3 2 2" xfId="720" xr:uid="{00000000-0005-0000-0000-0000ED000000}"/>
    <cellStyle name="Normal 13 2 3 2 2 2" xfId="1122" xr:uid="{45A02B4F-F611-4D0A-84E7-C8E30C41ED07}"/>
    <cellStyle name="Normal 13 2 3 2 3" xfId="942" xr:uid="{F86E991D-A795-4A6D-BE56-10E51F73D142}"/>
    <cellStyle name="Normal 13 2 3 3" xfId="632" xr:uid="{00000000-0005-0000-0000-0000EC000000}"/>
    <cellStyle name="Normal 13 2 3 3 2" xfId="1034" xr:uid="{2EA74215-9AF7-47B9-BF91-07D05BC6046F}"/>
    <cellStyle name="Normal 13 2 3 4" xfId="854" xr:uid="{93C34319-AF8A-47CB-965C-8FFD2906BA00}"/>
    <cellStyle name="Normal 13 2 4" xfId="487" xr:uid="{00000000-0005-0000-0000-0000EE000000}"/>
    <cellStyle name="Normal 13 2 4 2" xfId="676" xr:uid="{00000000-0005-0000-0000-0000EE000000}"/>
    <cellStyle name="Normal 13 2 4 2 2" xfId="1078" xr:uid="{FB0339D2-0077-45B4-B58B-04D48F972796}"/>
    <cellStyle name="Normal 13 2 4 3" xfId="898" xr:uid="{5F50A212-0E09-43B1-B9D8-6700D8F5AE30}"/>
    <cellStyle name="Normal 13 2 5" xfId="588" xr:uid="{00000000-0005-0000-0000-0000E7000000}"/>
    <cellStyle name="Normal 13 2 5 2" xfId="990" xr:uid="{D2CB8CD1-2DA0-40FA-9279-5316F926DE43}"/>
    <cellStyle name="Normal 13 2 6" xfId="810" xr:uid="{8E6F2C8E-7440-45C6-A69F-983F897B3695}"/>
    <cellStyle name="Normal 13 3" xfId="400" xr:uid="{00000000-0005-0000-0000-0000EF000000}"/>
    <cellStyle name="Normal 13 3 2" xfId="447" xr:uid="{00000000-0005-0000-0000-0000F0000000}"/>
    <cellStyle name="Normal 13 3 2 2" xfId="535" xr:uid="{00000000-0005-0000-0000-0000F1000000}"/>
    <cellStyle name="Normal 13 3 2 2 2" xfId="724" xr:uid="{00000000-0005-0000-0000-0000F1000000}"/>
    <cellStyle name="Normal 13 3 2 2 2 2" xfId="1126" xr:uid="{8FDC4205-237A-446D-B6D4-DF1C7136591B}"/>
    <cellStyle name="Normal 13 3 2 2 3" xfId="946" xr:uid="{805ABD5A-7445-4D11-B338-2A159FF3058C}"/>
    <cellStyle name="Normal 13 3 2 3" xfId="636" xr:uid="{00000000-0005-0000-0000-0000F0000000}"/>
    <cellStyle name="Normal 13 3 2 3 2" xfId="1038" xr:uid="{6C317E7A-3CB9-48CC-B741-2BD617AB75F3}"/>
    <cellStyle name="Normal 13 3 2 4" xfId="858" xr:uid="{CF09418C-C277-4F13-8603-ABEB403DFEA8}"/>
    <cellStyle name="Normal 13 3 3" xfId="491" xr:uid="{00000000-0005-0000-0000-0000F2000000}"/>
    <cellStyle name="Normal 13 3 3 2" xfId="680" xr:uid="{00000000-0005-0000-0000-0000F2000000}"/>
    <cellStyle name="Normal 13 3 3 2 2" xfId="1082" xr:uid="{6D32ED77-EFAD-4DC8-8EBF-991B6AA0CBB8}"/>
    <cellStyle name="Normal 13 3 3 3" xfId="902" xr:uid="{8C394AC6-23E6-4B9A-AFCD-B54655FAB233}"/>
    <cellStyle name="Normal 13 3 4" xfId="592" xr:uid="{00000000-0005-0000-0000-0000EF000000}"/>
    <cellStyle name="Normal 13 3 4 2" xfId="994" xr:uid="{E6548983-CF86-419C-9EFE-75A746BDBFF2}"/>
    <cellStyle name="Normal 13 3 5" xfId="814" xr:uid="{2BDB8CC4-1970-4703-9E94-D85BD41AE66F}"/>
    <cellStyle name="Normal 13 4" xfId="439" xr:uid="{00000000-0005-0000-0000-0000F3000000}"/>
    <cellStyle name="Normal 13 4 2" xfId="527" xr:uid="{00000000-0005-0000-0000-0000F4000000}"/>
    <cellStyle name="Normal 13 4 2 2" xfId="716" xr:uid="{00000000-0005-0000-0000-0000F4000000}"/>
    <cellStyle name="Normal 13 4 2 2 2" xfId="1118" xr:uid="{CA625873-8512-4C7E-869A-2994512D3325}"/>
    <cellStyle name="Normal 13 4 2 3" xfId="938" xr:uid="{2A6FADFD-F5EF-4505-9C74-9F3E9D481590}"/>
    <cellStyle name="Normal 13 4 3" xfId="628" xr:uid="{00000000-0005-0000-0000-0000F3000000}"/>
    <cellStyle name="Normal 13 4 3 2" xfId="1030" xr:uid="{1CA5EB5E-A1C8-4EA3-B8A1-2187200B8923}"/>
    <cellStyle name="Normal 13 4 4" xfId="850" xr:uid="{29D2606C-BB7B-490D-9406-7C24C382331A}"/>
    <cellStyle name="Normal 13 5" xfId="483" xr:uid="{00000000-0005-0000-0000-0000F5000000}"/>
    <cellStyle name="Normal 13 5 2" xfId="672" xr:uid="{00000000-0005-0000-0000-0000F5000000}"/>
    <cellStyle name="Normal 13 5 2 2" xfId="1074" xr:uid="{71F6D45C-0832-42F4-A27B-F5F2B86B835F}"/>
    <cellStyle name="Normal 13 5 3" xfId="894" xr:uid="{BA861F01-BD92-46DD-A4C8-96EDBD2D54EC}"/>
    <cellStyle name="Normal 13 6" xfId="584" xr:uid="{00000000-0005-0000-0000-0000E6000000}"/>
    <cellStyle name="Normal 13 6 2" xfId="986" xr:uid="{4D3A5302-0A2E-4967-9393-A5DE3B0EFA33}"/>
    <cellStyle name="Normal 13 7" xfId="806" xr:uid="{4B331BC4-6E9E-46DB-8A0B-07E0D4229418}"/>
    <cellStyle name="Normal 13 8" xfId="1153" xr:uid="{C3A4A16A-4639-4F63-BCC0-EC375E0D65E7}"/>
    <cellStyle name="Normal 14" xfId="543" xr:uid="{00000000-0005-0000-0000-0000FE000000}"/>
    <cellStyle name="Normal 14 2" xfId="1146" xr:uid="{4E89B6F1-7F18-4E65-9DF0-8E23304E9DFE}"/>
    <cellStyle name="Normal 15" xfId="561" xr:uid="{00000000-0005-0000-0000-00004E020000}"/>
    <cellStyle name="Normal 15 2" xfId="1145" xr:uid="{7EAD08FF-2E83-46BB-A560-931AFC65BE1E}"/>
    <cellStyle name="Normal 16" xfId="541" xr:uid="{00000000-0005-0000-0000-000061020000}"/>
    <cellStyle name="Normal 16 2" xfId="396" xr:uid="{00000000-0005-0000-0000-0000F6000000}"/>
    <cellStyle name="Normal 16 2 2" xfId="406" xr:uid="{00000000-0005-0000-0000-0000F7000000}"/>
    <cellStyle name="Normal 16 2 2 2" xfId="450" xr:uid="{00000000-0005-0000-0000-0000F8000000}"/>
    <cellStyle name="Normal 16 2 2 2 2" xfId="538" xr:uid="{00000000-0005-0000-0000-0000F9000000}"/>
    <cellStyle name="Normal 16 2 2 2 2 2" xfId="727" xr:uid="{00000000-0005-0000-0000-0000F9000000}"/>
    <cellStyle name="Normal 16 2 2 2 2 2 2" xfId="1129" xr:uid="{E5E6D5FB-A80D-49C2-9F7C-E130BF57A930}"/>
    <cellStyle name="Normal 16 2 2 2 2 3" xfId="949" xr:uid="{E8B7FEC7-9E62-4D1F-9D1D-BF3A3580BDD2}"/>
    <cellStyle name="Normal 16 2 2 2 3" xfId="639" xr:uid="{00000000-0005-0000-0000-0000F8000000}"/>
    <cellStyle name="Normal 16 2 2 2 3 2" xfId="1041" xr:uid="{BEF7D146-9E1B-4099-8E5B-E59B87422465}"/>
    <cellStyle name="Normal 16 2 2 2 4" xfId="861" xr:uid="{33A3C1A6-8B26-40DD-B351-6806EF266C75}"/>
    <cellStyle name="Normal 16 2 2 3" xfId="494" xr:uid="{00000000-0005-0000-0000-0000FA000000}"/>
    <cellStyle name="Normal 16 2 2 3 2" xfId="683" xr:uid="{00000000-0005-0000-0000-0000FA000000}"/>
    <cellStyle name="Normal 16 2 2 3 2 2" xfId="1085" xr:uid="{78A25A84-75A6-41D8-B844-B5BC13E73FD2}"/>
    <cellStyle name="Normal 16 2 2 3 3" xfId="905" xr:uid="{073AEEC6-D51D-440B-94AF-E9ED2B449E0D}"/>
    <cellStyle name="Normal 16 2 2 4" xfId="595" xr:uid="{00000000-0005-0000-0000-0000F7000000}"/>
    <cellStyle name="Normal 16 2 2 4 2" xfId="997" xr:uid="{369E4771-BA72-4838-9A79-084B881135DE}"/>
    <cellStyle name="Normal 16 2 2 5" xfId="817" xr:uid="{22F5ED20-F444-4E40-8CD6-6BD51F0407AA}"/>
    <cellStyle name="Normal 16 2 3" xfId="446" xr:uid="{00000000-0005-0000-0000-0000FB000000}"/>
    <cellStyle name="Normal 16 2 3 2" xfId="534" xr:uid="{00000000-0005-0000-0000-0000FC000000}"/>
    <cellStyle name="Normal 16 2 3 2 2" xfId="723" xr:uid="{00000000-0005-0000-0000-0000FC000000}"/>
    <cellStyle name="Normal 16 2 3 2 2 2" xfId="1125" xr:uid="{FA0360FE-5DBD-4A47-BB77-5A22CA5EFDA5}"/>
    <cellStyle name="Normal 16 2 3 2 3" xfId="945" xr:uid="{3FC6C908-7BA7-494F-9596-59BF660F6513}"/>
    <cellStyle name="Normal 16 2 3 3" xfId="635" xr:uid="{00000000-0005-0000-0000-0000FB000000}"/>
    <cellStyle name="Normal 16 2 3 3 2" xfId="1037" xr:uid="{DDF3F1A0-38FB-4528-9D32-07C890E0D3EE}"/>
    <cellStyle name="Normal 16 2 3 4" xfId="857" xr:uid="{7473024E-0364-4572-8C45-79F44E1CB91E}"/>
    <cellStyle name="Normal 16 2 4" xfId="490" xr:uid="{00000000-0005-0000-0000-0000FD000000}"/>
    <cellStyle name="Normal 16 2 4 2" xfId="679" xr:uid="{00000000-0005-0000-0000-0000FD000000}"/>
    <cellStyle name="Normal 16 2 4 2 2" xfId="1081" xr:uid="{C6EEDD07-A675-4BA6-BBAE-C6039CEFD878}"/>
    <cellStyle name="Normal 16 2 4 3" xfId="901" xr:uid="{B48DAB86-11AF-4742-9124-8C17602E6957}"/>
    <cellStyle name="Normal 16 2 5" xfId="591" xr:uid="{00000000-0005-0000-0000-0000F6000000}"/>
    <cellStyle name="Normal 16 2 5 2" xfId="993" xr:uid="{5ABCE620-F4DE-451B-8798-F10343295377}"/>
    <cellStyle name="Normal 16 2 6" xfId="813" xr:uid="{8CDB62F8-1A2B-4F94-9261-E3C7647B0C31}"/>
    <cellStyle name="Normal 16 3" xfId="951" xr:uid="{FA9251E4-4CB3-4277-A3B4-DAB568445D80}"/>
    <cellStyle name="Normal 17" xfId="752" xr:uid="{00000000-0005-0000-0000-000068020000}"/>
    <cellStyle name="Normal 18" xfId="738" xr:uid="{00000000-0005-0000-0000-00000A030000}"/>
    <cellStyle name="Normal 19" xfId="742" xr:uid="{00000000-0005-0000-0000-00000E030000}"/>
    <cellStyle name="Normal 2" xfId="184" xr:uid="{00000000-0005-0000-0000-0000FE000000}"/>
    <cellStyle name="Normal 2 2" xfId="185" xr:uid="{00000000-0005-0000-0000-0000FF000000}"/>
    <cellStyle name="Normal 2 2 2" xfId="1152" xr:uid="{DB29872B-685B-46AF-9756-0C4D497C16DE}"/>
    <cellStyle name="Normal 2 3" xfId="1144" xr:uid="{F72347D1-E1FA-49A9-AB5D-1DDD3B9A438E}"/>
    <cellStyle name="Normal 20" xfId="745" xr:uid="{00000000-0005-0000-0000-000012030000}"/>
    <cellStyle name="Normal 21" xfId="759" xr:uid="{00000000-0005-0000-0000-000016030000}"/>
    <cellStyle name="Normal 22" xfId="763" xr:uid="{00000000-0005-0000-0000-00001A030000}"/>
    <cellStyle name="Normal 23" xfId="736" xr:uid="{00000000-0005-0000-0000-00001E030000}"/>
    <cellStyle name="Normal 24" xfId="746" xr:uid="{00000000-0005-0000-0000-000022030000}"/>
    <cellStyle name="Normal 25" xfId="764" xr:uid="{00000000-0005-0000-0000-000026030000}"/>
    <cellStyle name="Normal 26" xfId="565" xr:uid="{00000000-0005-0000-0000-000016030000}"/>
    <cellStyle name="Normal 26 2" xfId="967" xr:uid="{7C0EFAA3-0799-467B-AF6F-E9BF549DE0C5}"/>
    <cellStyle name="Normal 27" xfId="768" xr:uid="{00000000-0005-0000-0000-00002C030000}"/>
    <cellStyle name="Normal 28" xfId="1134" xr:uid="{9298BF01-36AD-41F2-A707-5DB8F2C38515}"/>
    <cellStyle name="Normal 29" xfId="1140" xr:uid="{2D27F3F5-22BC-4230-B9DF-3F9ABD1E90F2}"/>
    <cellStyle name="Normal 3" xfId="186" xr:uid="{00000000-0005-0000-0000-000000010000}"/>
    <cellStyle name="Normal 3 2" xfId="187" xr:uid="{00000000-0005-0000-0000-000001010000}"/>
    <cellStyle name="Normal 3 2 3" xfId="1142" xr:uid="{3EEB57D4-2222-4912-88D6-A07208C10B01}"/>
    <cellStyle name="Normal 3_Attach O, GG, Support -New Method 2-14-11" xfId="188" xr:uid="{00000000-0005-0000-0000-000002010000}"/>
    <cellStyle name="Normal 30" xfId="1143" xr:uid="{EDB0EB4F-748F-43ED-AED7-399EF1FE5CEA}"/>
    <cellStyle name="Normal 31" xfId="1160" xr:uid="{BBEF28B9-8422-4040-BBC4-B8F6D072541B}"/>
    <cellStyle name="Normal 32" xfId="1131" xr:uid="{62558B9E-C867-4627-975B-05299150288F}"/>
    <cellStyle name="Normal 33" xfId="1162" xr:uid="{D70C1137-84EB-4244-9B3E-AB0B9227AF95}"/>
    <cellStyle name="Normal 4" xfId="189" xr:uid="{00000000-0005-0000-0000-000003010000}"/>
    <cellStyle name="Normal 4 2" xfId="190" xr:uid="{00000000-0005-0000-0000-000004010000}"/>
    <cellStyle name="Normal 4_Attach O, GG, Support -New Method 2-14-11" xfId="191" xr:uid="{00000000-0005-0000-0000-000005010000}"/>
    <cellStyle name="Normal 5" xfId="192" xr:uid="{00000000-0005-0000-0000-000006010000}"/>
    <cellStyle name="Normal 5 2" xfId="387" xr:uid="{00000000-0005-0000-0000-000007010000}"/>
    <cellStyle name="Normal 5 2 2" xfId="1149" xr:uid="{ADA5CFF7-7C6F-4D31-8DF2-90843B1143B3}"/>
    <cellStyle name="Normal 5 60" xfId="1132" xr:uid="{926317A9-4832-4273-AE75-DFE3310B838D}"/>
    <cellStyle name="Normal 6" xfId="193" xr:uid="{00000000-0005-0000-0000-000008010000}"/>
    <cellStyle name="Normal 6 2" xfId="194" xr:uid="{00000000-0005-0000-0000-000009010000}"/>
    <cellStyle name="Normal 6 2 2" xfId="195" xr:uid="{00000000-0005-0000-0000-00000A010000}"/>
    <cellStyle name="Normal 6 2 2 2" xfId="196" xr:uid="{00000000-0005-0000-0000-00000B010000}"/>
    <cellStyle name="Normal 6 2 2 2 2" xfId="371" xr:uid="{00000000-0005-0000-0000-00000C010000}"/>
    <cellStyle name="Normal 6 2 2 2 2 2" xfId="425" xr:uid="{00000000-0005-0000-0000-00000D010000}"/>
    <cellStyle name="Normal 6 2 2 2 2 2 2" xfId="513" xr:uid="{00000000-0005-0000-0000-00000E010000}"/>
    <cellStyle name="Normal 6 2 2 2 2 2 2 2" xfId="702" xr:uid="{00000000-0005-0000-0000-00000E010000}"/>
    <cellStyle name="Normal 6 2 2 2 2 2 2 2 2" xfId="1104" xr:uid="{2F3321F1-91C0-4821-A405-4D3D60E8582B}"/>
    <cellStyle name="Normal 6 2 2 2 2 2 2 3" xfId="924" xr:uid="{6D65A699-9B61-4DC6-80BE-1CD55D4C0232}"/>
    <cellStyle name="Normal 6 2 2 2 2 2 3" xfId="614" xr:uid="{00000000-0005-0000-0000-00000D010000}"/>
    <cellStyle name="Normal 6 2 2 2 2 2 3 2" xfId="1016" xr:uid="{462943FD-8AAC-42E7-8A34-29CF34122B46}"/>
    <cellStyle name="Normal 6 2 2 2 2 2 4" xfId="836" xr:uid="{7AFE9683-F26F-4463-946D-DD69AD743D64}"/>
    <cellStyle name="Normal 6 2 2 2 2 3" xfId="469" xr:uid="{00000000-0005-0000-0000-00000F010000}"/>
    <cellStyle name="Normal 6 2 2 2 2 3 2" xfId="658" xr:uid="{00000000-0005-0000-0000-00000F010000}"/>
    <cellStyle name="Normal 6 2 2 2 2 3 2 2" xfId="1060" xr:uid="{F8106501-76E4-49E7-A2DC-A62235AE881F}"/>
    <cellStyle name="Normal 6 2 2 2 2 3 3" xfId="880" xr:uid="{50FD5772-6637-479B-BD4D-52CECBA0B856}"/>
    <cellStyle name="Normal 6 2 2 2 2 4" xfId="570" xr:uid="{00000000-0005-0000-0000-00000C010000}"/>
    <cellStyle name="Normal 6 2 2 2 2 4 2" xfId="972" xr:uid="{4CE899F3-2FD9-4810-9277-F7C00B1258A4}"/>
    <cellStyle name="Normal 6 2 2 2 2 5" xfId="792" xr:uid="{CDA6F08E-F0A2-47CA-B2CF-1719E5A0E2F3}"/>
    <cellStyle name="Normal 6 2 2 2 3" xfId="412" xr:uid="{00000000-0005-0000-0000-000010010000}"/>
    <cellStyle name="Normal 6 2 2 2 3 2" xfId="500" xr:uid="{00000000-0005-0000-0000-000011010000}"/>
    <cellStyle name="Normal 6 2 2 2 3 2 2" xfId="689" xr:uid="{00000000-0005-0000-0000-000011010000}"/>
    <cellStyle name="Normal 6 2 2 2 3 2 2 2" xfId="1091" xr:uid="{63B1CF56-4FF2-4986-AF58-135F0A546906}"/>
    <cellStyle name="Normal 6 2 2 2 3 2 3" xfId="911" xr:uid="{5C5348C1-45D6-4090-956B-D299F424CD29}"/>
    <cellStyle name="Normal 6 2 2 2 3 3" xfId="601" xr:uid="{00000000-0005-0000-0000-000010010000}"/>
    <cellStyle name="Normal 6 2 2 2 3 3 2" xfId="1003" xr:uid="{6F49C61F-B778-4B1B-AD3E-93B1258BB12C}"/>
    <cellStyle name="Normal 6 2 2 2 3 4" xfId="823" xr:uid="{725D4C66-5C94-4C4D-BE38-02A553114F89}"/>
    <cellStyle name="Normal 6 2 2 2 4" xfId="456" xr:uid="{00000000-0005-0000-0000-000012010000}"/>
    <cellStyle name="Normal 6 2 2 2 4 2" xfId="645" xr:uid="{00000000-0005-0000-0000-000012010000}"/>
    <cellStyle name="Normal 6 2 2 2 4 2 2" xfId="1047" xr:uid="{0A10D0A4-01D4-4CE9-AB28-78B15D3AA66B}"/>
    <cellStyle name="Normal 6 2 2 2 4 3" xfId="867" xr:uid="{6D908EFA-CFEB-43EC-9AC9-6BCE881924A9}"/>
    <cellStyle name="Normal 6 2 2 2 5" xfId="552" xr:uid="{00000000-0005-0000-0000-00000B010000}"/>
    <cellStyle name="Normal 6 2 2 2 5 2" xfId="957" xr:uid="{52BEBDDE-B8E0-49E9-98D5-A2AD19435A41}"/>
    <cellStyle name="Normal 6 2 2 2 6" xfId="779" xr:uid="{C6EDA262-5110-4428-A46B-DF3CF3250F87}"/>
    <cellStyle name="Normal 6 2 2 3" xfId="370" xr:uid="{00000000-0005-0000-0000-000013010000}"/>
    <cellStyle name="Normal 6 2 2 3 2" xfId="424" xr:uid="{00000000-0005-0000-0000-000014010000}"/>
    <cellStyle name="Normal 6 2 2 3 2 2" xfId="512" xr:uid="{00000000-0005-0000-0000-000015010000}"/>
    <cellStyle name="Normal 6 2 2 3 2 2 2" xfId="701" xr:uid="{00000000-0005-0000-0000-000015010000}"/>
    <cellStyle name="Normal 6 2 2 3 2 2 2 2" xfId="1103" xr:uid="{61B97B7F-0912-4A72-9EF0-785FCC17191D}"/>
    <cellStyle name="Normal 6 2 2 3 2 2 3" xfId="923" xr:uid="{A8224659-E19A-4092-BAE3-E6F93915FF87}"/>
    <cellStyle name="Normal 6 2 2 3 2 3" xfId="613" xr:uid="{00000000-0005-0000-0000-000014010000}"/>
    <cellStyle name="Normal 6 2 2 3 2 3 2" xfId="1015" xr:uid="{FEC310ED-EE58-4B00-A355-C85EB2DE67CA}"/>
    <cellStyle name="Normal 6 2 2 3 2 4" xfId="835" xr:uid="{42177B5F-6A69-42EA-B1E5-5BB7EF892EC2}"/>
    <cellStyle name="Normal 6 2 2 3 3" xfId="468" xr:uid="{00000000-0005-0000-0000-000016010000}"/>
    <cellStyle name="Normal 6 2 2 3 3 2" xfId="657" xr:uid="{00000000-0005-0000-0000-000016010000}"/>
    <cellStyle name="Normal 6 2 2 3 3 2 2" xfId="1059" xr:uid="{75AD9231-A30C-4770-908D-BE0DC5C9881E}"/>
    <cellStyle name="Normal 6 2 2 3 3 3" xfId="879" xr:uid="{50199ECE-CAD7-43F3-BB8E-B7C2EDC4A19A}"/>
    <cellStyle name="Normal 6 2 2 3 4" xfId="569" xr:uid="{00000000-0005-0000-0000-000013010000}"/>
    <cellStyle name="Normal 6 2 2 3 4 2" xfId="971" xr:uid="{2B0E0AA9-B851-40E6-AB34-A6D0E9207CAC}"/>
    <cellStyle name="Normal 6 2 2 3 5" xfId="791" xr:uid="{0D4A261B-1AA1-495B-BDFA-0A189B2CAB06}"/>
    <cellStyle name="Normal 6 2 2 4" xfId="411" xr:uid="{00000000-0005-0000-0000-000017010000}"/>
    <cellStyle name="Normal 6 2 2 4 2" xfId="499" xr:uid="{00000000-0005-0000-0000-000018010000}"/>
    <cellStyle name="Normal 6 2 2 4 2 2" xfId="688" xr:uid="{00000000-0005-0000-0000-000018010000}"/>
    <cellStyle name="Normal 6 2 2 4 2 2 2" xfId="1090" xr:uid="{47CEADBD-3387-4B9E-B9F8-88E257587FA0}"/>
    <cellStyle name="Normal 6 2 2 4 2 3" xfId="910" xr:uid="{63B9A20C-5CA6-498D-A203-D86C4A15109A}"/>
    <cellStyle name="Normal 6 2 2 4 3" xfId="600" xr:uid="{00000000-0005-0000-0000-000017010000}"/>
    <cellStyle name="Normal 6 2 2 4 3 2" xfId="1002" xr:uid="{24DF8D96-4A0E-47EF-855A-DE0F41139B1A}"/>
    <cellStyle name="Normal 6 2 2 4 4" xfId="822" xr:uid="{DF868700-3590-43D1-AEAC-114237B29430}"/>
    <cellStyle name="Normal 6 2 2 5" xfId="455" xr:uid="{00000000-0005-0000-0000-000019010000}"/>
    <cellStyle name="Normal 6 2 2 5 2" xfId="644" xr:uid="{00000000-0005-0000-0000-000019010000}"/>
    <cellStyle name="Normal 6 2 2 5 2 2" xfId="1046" xr:uid="{21604D17-98A7-451F-BEB4-05890C88CCAA}"/>
    <cellStyle name="Normal 6 2 2 5 3" xfId="866" xr:uid="{C6E51A50-EF4F-4B9B-A239-6C553E258788}"/>
    <cellStyle name="Normal 6 2 2 6" xfId="551" xr:uid="{00000000-0005-0000-0000-00000A010000}"/>
    <cellStyle name="Normal 6 2 2 6 2" xfId="956" xr:uid="{E97147A5-3A9A-4928-BA90-6A2E74A42398}"/>
    <cellStyle name="Normal 6 2 2 7" xfId="778" xr:uid="{FD84F258-AF39-43C5-8651-E53DF0C4717C}"/>
    <cellStyle name="Normal 6 2 3" xfId="197" xr:uid="{00000000-0005-0000-0000-00001A010000}"/>
    <cellStyle name="Normal 6 2 3 2" xfId="372" xr:uid="{00000000-0005-0000-0000-00001B010000}"/>
    <cellStyle name="Normal 6 2 3 2 2" xfId="426" xr:uid="{00000000-0005-0000-0000-00001C010000}"/>
    <cellStyle name="Normal 6 2 3 2 2 2" xfId="514" xr:uid="{00000000-0005-0000-0000-00001D010000}"/>
    <cellStyle name="Normal 6 2 3 2 2 2 2" xfId="703" xr:uid="{00000000-0005-0000-0000-00001D010000}"/>
    <cellStyle name="Normal 6 2 3 2 2 2 2 2" xfId="1105" xr:uid="{8A5748F9-64D9-4F3F-B705-7DCCB3424E1E}"/>
    <cellStyle name="Normal 6 2 3 2 2 2 3" xfId="925" xr:uid="{8BB43F4F-60B6-4B09-B0AC-2EA4CC2439F3}"/>
    <cellStyle name="Normal 6 2 3 2 2 3" xfId="615" xr:uid="{00000000-0005-0000-0000-00001C010000}"/>
    <cellStyle name="Normal 6 2 3 2 2 3 2" xfId="1017" xr:uid="{67F3D456-E78E-4C1F-8838-827725FFDC56}"/>
    <cellStyle name="Normal 6 2 3 2 2 4" xfId="837" xr:uid="{81D73111-8B0F-4AA9-9E57-D79FA7BD8DDC}"/>
    <cellStyle name="Normal 6 2 3 2 3" xfId="470" xr:uid="{00000000-0005-0000-0000-00001E010000}"/>
    <cellStyle name="Normal 6 2 3 2 3 2" xfId="659" xr:uid="{00000000-0005-0000-0000-00001E010000}"/>
    <cellStyle name="Normal 6 2 3 2 3 2 2" xfId="1061" xr:uid="{61D8D5AC-F52B-41FE-9E89-3D905ACD1759}"/>
    <cellStyle name="Normal 6 2 3 2 3 3" xfId="881" xr:uid="{66BD1625-FF3B-4C48-B91A-20E81433A91E}"/>
    <cellStyle name="Normal 6 2 3 2 4" xfId="571" xr:uid="{00000000-0005-0000-0000-00001B010000}"/>
    <cellStyle name="Normal 6 2 3 2 4 2" xfId="973" xr:uid="{E51CD957-04A0-4683-AEAA-D729149B2439}"/>
    <cellStyle name="Normal 6 2 3 2 5" xfId="793" xr:uid="{C56AD8B4-2F02-4DA5-BBFC-8BFFC9D9D56B}"/>
    <cellStyle name="Normal 6 2 3 3" xfId="413" xr:uid="{00000000-0005-0000-0000-00001F010000}"/>
    <cellStyle name="Normal 6 2 3 3 2" xfId="501" xr:uid="{00000000-0005-0000-0000-000020010000}"/>
    <cellStyle name="Normal 6 2 3 3 2 2" xfId="690" xr:uid="{00000000-0005-0000-0000-000020010000}"/>
    <cellStyle name="Normal 6 2 3 3 2 2 2" xfId="1092" xr:uid="{C74F614B-8CB8-44DF-BDF8-0A79BEB0CA0F}"/>
    <cellStyle name="Normal 6 2 3 3 2 3" xfId="912" xr:uid="{1AD6FC57-BF0D-4835-B7F8-E95A813FD3C0}"/>
    <cellStyle name="Normal 6 2 3 3 3" xfId="602" xr:uid="{00000000-0005-0000-0000-00001F010000}"/>
    <cellStyle name="Normal 6 2 3 3 3 2" xfId="1004" xr:uid="{2DF3C0B0-61C3-42A0-8343-D8731932E8BE}"/>
    <cellStyle name="Normal 6 2 3 3 4" xfId="824" xr:uid="{B1985C4A-82C9-4745-B1AC-195CFBC944D2}"/>
    <cellStyle name="Normal 6 2 3 4" xfId="457" xr:uid="{00000000-0005-0000-0000-000021010000}"/>
    <cellStyle name="Normal 6 2 3 4 2" xfId="646" xr:uid="{00000000-0005-0000-0000-000021010000}"/>
    <cellStyle name="Normal 6 2 3 4 2 2" xfId="1048" xr:uid="{7B0EED33-D2F8-4FC0-9F4C-27FDA9230AAC}"/>
    <cellStyle name="Normal 6 2 3 4 3" xfId="868" xr:uid="{46EA3DD9-F0FB-4C0B-AB70-17297FEA5D9D}"/>
    <cellStyle name="Normal 6 2 3 5" xfId="553" xr:uid="{00000000-0005-0000-0000-00001A010000}"/>
    <cellStyle name="Normal 6 2 3 5 2" xfId="958" xr:uid="{8E38FE22-4022-4305-BDC4-A6682B4A9806}"/>
    <cellStyle name="Normal 6 2 3 6" xfId="780" xr:uid="{6697DC6A-6756-4590-B7C5-889D42D05520}"/>
    <cellStyle name="Normal 6 2 4" xfId="369" xr:uid="{00000000-0005-0000-0000-000022010000}"/>
    <cellStyle name="Normal 6 2 4 2" xfId="423" xr:uid="{00000000-0005-0000-0000-000023010000}"/>
    <cellStyle name="Normal 6 2 4 2 2" xfId="511" xr:uid="{00000000-0005-0000-0000-000024010000}"/>
    <cellStyle name="Normal 6 2 4 2 2 2" xfId="700" xr:uid="{00000000-0005-0000-0000-000024010000}"/>
    <cellStyle name="Normal 6 2 4 2 2 2 2" xfId="1102" xr:uid="{E7C181F6-C787-4382-9CDA-B7C7D655C1D7}"/>
    <cellStyle name="Normal 6 2 4 2 2 3" xfId="922" xr:uid="{4A68F251-4FE8-4BC8-A311-7B3275BB6971}"/>
    <cellStyle name="Normal 6 2 4 2 3" xfId="612" xr:uid="{00000000-0005-0000-0000-000023010000}"/>
    <cellStyle name="Normal 6 2 4 2 3 2" xfId="1014" xr:uid="{9F13940F-B477-48F1-A1B9-6B50401FAF4E}"/>
    <cellStyle name="Normal 6 2 4 2 4" xfId="834" xr:uid="{45543F38-A61A-4BE7-91EB-76292258791B}"/>
    <cellStyle name="Normal 6 2 4 3" xfId="467" xr:uid="{00000000-0005-0000-0000-000025010000}"/>
    <cellStyle name="Normal 6 2 4 3 2" xfId="656" xr:uid="{00000000-0005-0000-0000-000025010000}"/>
    <cellStyle name="Normal 6 2 4 3 2 2" xfId="1058" xr:uid="{4C0CD06E-9331-47CC-9453-7FF17A87C2E5}"/>
    <cellStyle name="Normal 6 2 4 3 3" xfId="878" xr:uid="{8DDA0C78-C5B3-4752-B21F-6A916D6CB7ED}"/>
    <cellStyle name="Normal 6 2 4 4" xfId="568" xr:uid="{00000000-0005-0000-0000-000022010000}"/>
    <cellStyle name="Normal 6 2 4 4 2" xfId="970" xr:uid="{5E05593D-50CB-44D6-B1EB-E0FC51DDCDB7}"/>
    <cellStyle name="Normal 6 2 4 5" xfId="790" xr:uid="{436652D7-97C9-41D0-8005-AE5389036C9F}"/>
    <cellStyle name="Normal 6 2 5" xfId="386" xr:uid="{00000000-0005-0000-0000-000026010000}"/>
    <cellStyle name="Normal 6 2 6" xfId="410" xr:uid="{00000000-0005-0000-0000-000027010000}"/>
    <cellStyle name="Normal 6 2 6 2" xfId="498" xr:uid="{00000000-0005-0000-0000-000028010000}"/>
    <cellStyle name="Normal 6 2 6 2 2" xfId="687" xr:uid="{00000000-0005-0000-0000-000028010000}"/>
    <cellStyle name="Normal 6 2 6 2 2 2" xfId="1089" xr:uid="{91418BA4-B867-45D3-99D3-118B6B75DAE8}"/>
    <cellStyle name="Normal 6 2 6 2 3" xfId="909" xr:uid="{6C5A17AF-433F-4CC4-86F6-3EE6BE2DCD30}"/>
    <cellStyle name="Normal 6 2 6 3" xfId="599" xr:uid="{00000000-0005-0000-0000-000027010000}"/>
    <cellStyle name="Normal 6 2 6 3 2" xfId="1001" xr:uid="{BF5EAC73-8C72-4833-B93C-04BB809462BF}"/>
    <cellStyle name="Normal 6 2 6 4" xfId="821" xr:uid="{45A3A390-8544-4AED-910F-D93DBD0FCF5B}"/>
    <cellStyle name="Normal 6 2 7" xfId="454" xr:uid="{00000000-0005-0000-0000-000029010000}"/>
    <cellStyle name="Normal 6 2 7 2" xfId="643" xr:uid="{00000000-0005-0000-0000-000029010000}"/>
    <cellStyle name="Normal 6 2 7 2 2" xfId="1045" xr:uid="{65E88544-7242-432B-BAFC-09A6C5DF1E91}"/>
    <cellStyle name="Normal 6 2 7 3" xfId="865" xr:uid="{0BB24B1E-9D20-4F56-BBCB-210DC30D4FD2}"/>
    <cellStyle name="Normal 6 2 8" xfId="550" xr:uid="{00000000-0005-0000-0000-000009010000}"/>
    <cellStyle name="Normal 6 2 8 2" xfId="955" xr:uid="{6DDBC065-743B-4754-97C4-A6A0C68C2529}"/>
    <cellStyle name="Normal 6 2 9" xfId="777" xr:uid="{35322308-F02C-4496-9A7C-284C4A84BBA6}"/>
    <cellStyle name="Normal 6 3" xfId="198" xr:uid="{00000000-0005-0000-0000-00002A010000}"/>
    <cellStyle name="Normal 6 3 2" xfId="199" xr:uid="{00000000-0005-0000-0000-00002B010000}"/>
    <cellStyle name="Normal 6 3 2 2" xfId="374" xr:uid="{00000000-0005-0000-0000-00002C010000}"/>
    <cellStyle name="Normal 6 3 2 2 2" xfId="428" xr:uid="{00000000-0005-0000-0000-00002D010000}"/>
    <cellStyle name="Normal 6 3 2 2 2 2" xfId="516" xr:uid="{00000000-0005-0000-0000-00002E010000}"/>
    <cellStyle name="Normal 6 3 2 2 2 2 2" xfId="705" xr:uid="{00000000-0005-0000-0000-00002E010000}"/>
    <cellStyle name="Normal 6 3 2 2 2 2 2 2" xfId="1107" xr:uid="{062A7B0E-33AC-49AF-9BD9-B137D152F8B2}"/>
    <cellStyle name="Normal 6 3 2 2 2 2 3" xfId="927" xr:uid="{74E5945E-6F0F-48EF-9A5D-CAA8CFDD4635}"/>
    <cellStyle name="Normal 6 3 2 2 2 3" xfId="617" xr:uid="{00000000-0005-0000-0000-00002D010000}"/>
    <cellStyle name="Normal 6 3 2 2 2 3 2" xfId="1019" xr:uid="{D99AB4B2-2504-4724-A06E-FF739B846914}"/>
    <cellStyle name="Normal 6 3 2 2 2 4" xfId="839" xr:uid="{137F7CBC-FDE7-4228-8CE3-8929DA8757B1}"/>
    <cellStyle name="Normal 6 3 2 2 3" xfId="472" xr:uid="{00000000-0005-0000-0000-00002F010000}"/>
    <cellStyle name="Normal 6 3 2 2 3 2" xfId="661" xr:uid="{00000000-0005-0000-0000-00002F010000}"/>
    <cellStyle name="Normal 6 3 2 2 3 2 2" xfId="1063" xr:uid="{BF18B53A-45C9-497E-A85D-DB691F09C2E6}"/>
    <cellStyle name="Normal 6 3 2 2 3 3" xfId="883" xr:uid="{E96E66A3-3F48-44B7-A9AA-27E777CA615F}"/>
    <cellStyle name="Normal 6 3 2 2 4" xfId="573" xr:uid="{00000000-0005-0000-0000-00002C010000}"/>
    <cellStyle name="Normal 6 3 2 2 4 2" xfId="975" xr:uid="{46E304F2-4C12-4127-A302-B6E1D2F13C29}"/>
    <cellStyle name="Normal 6 3 2 2 5" xfId="795" xr:uid="{F176E537-D2A4-4B3B-B509-306AB0EE169D}"/>
    <cellStyle name="Normal 6 3 2 3" xfId="415" xr:uid="{00000000-0005-0000-0000-000030010000}"/>
    <cellStyle name="Normal 6 3 2 3 2" xfId="503" xr:uid="{00000000-0005-0000-0000-000031010000}"/>
    <cellStyle name="Normal 6 3 2 3 2 2" xfId="692" xr:uid="{00000000-0005-0000-0000-000031010000}"/>
    <cellStyle name="Normal 6 3 2 3 2 2 2" xfId="1094" xr:uid="{066E04B6-2A06-49BC-8899-B74BCFD1E330}"/>
    <cellStyle name="Normal 6 3 2 3 2 3" xfId="914" xr:uid="{F16F7C3D-1549-4BFC-8F43-26683168A79C}"/>
    <cellStyle name="Normal 6 3 2 3 3" xfId="604" xr:uid="{00000000-0005-0000-0000-000030010000}"/>
    <cellStyle name="Normal 6 3 2 3 3 2" xfId="1006" xr:uid="{263D5E3E-F1CD-4652-A8EF-026A8E2D25E6}"/>
    <cellStyle name="Normal 6 3 2 3 4" xfId="826" xr:uid="{5BC896D1-2882-46AA-93F2-D7AB3E017409}"/>
    <cellStyle name="Normal 6 3 2 4" xfId="459" xr:uid="{00000000-0005-0000-0000-000032010000}"/>
    <cellStyle name="Normal 6 3 2 4 2" xfId="648" xr:uid="{00000000-0005-0000-0000-000032010000}"/>
    <cellStyle name="Normal 6 3 2 4 2 2" xfId="1050" xr:uid="{1265DB6A-4AC2-4B59-B5FB-18AA612D3899}"/>
    <cellStyle name="Normal 6 3 2 4 3" xfId="870" xr:uid="{C06D957D-C803-4D31-9F75-D5532EF0E5E4}"/>
    <cellStyle name="Normal 6 3 2 5" xfId="555" xr:uid="{00000000-0005-0000-0000-00002B010000}"/>
    <cellStyle name="Normal 6 3 2 5 2" xfId="960" xr:uid="{99BEF263-0A5D-4730-9D55-18B198F7DD49}"/>
    <cellStyle name="Normal 6 3 2 6" xfId="782" xr:uid="{A3789085-55FE-4A20-992C-D1287BC9F79B}"/>
    <cellStyle name="Normal 6 3 3" xfId="373" xr:uid="{00000000-0005-0000-0000-000033010000}"/>
    <cellStyle name="Normal 6 3 3 2" xfId="427" xr:uid="{00000000-0005-0000-0000-000034010000}"/>
    <cellStyle name="Normal 6 3 3 2 2" xfId="515" xr:uid="{00000000-0005-0000-0000-000035010000}"/>
    <cellStyle name="Normal 6 3 3 2 2 2" xfId="704" xr:uid="{00000000-0005-0000-0000-000035010000}"/>
    <cellStyle name="Normal 6 3 3 2 2 2 2" xfId="1106" xr:uid="{CE50B600-F822-4EF9-A68B-F3F1BEEFA77B}"/>
    <cellStyle name="Normal 6 3 3 2 2 3" xfId="926" xr:uid="{133C490F-C815-48AC-AC61-C814539BF50B}"/>
    <cellStyle name="Normal 6 3 3 2 3" xfId="616" xr:uid="{00000000-0005-0000-0000-000034010000}"/>
    <cellStyle name="Normal 6 3 3 2 3 2" xfId="1018" xr:uid="{98A28278-6D1E-4E20-BB3B-C993B9860DFD}"/>
    <cellStyle name="Normal 6 3 3 2 4" xfId="838" xr:uid="{07ADF5CB-AEC2-484B-9506-F0F69677B016}"/>
    <cellStyle name="Normal 6 3 3 3" xfId="471" xr:uid="{00000000-0005-0000-0000-000036010000}"/>
    <cellStyle name="Normal 6 3 3 3 2" xfId="660" xr:uid="{00000000-0005-0000-0000-000036010000}"/>
    <cellStyle name="Normal 6 3 3 3 2 2" xfId="1062" xr:uid="{DB60273B-F8BB-45CF-A11B-E2016B9D4FE5}"/>
    <cellStyle name="Normal 6 3 3 3 3" xfId="882" xr:uid="{C4F3A16D-1F99-40E8-8C17-2A65A9F85C1E}"/>
    <cellStyle name="Normal 6 3 3 4" xfId="572" xr:uid="{00000000-0005-0000-0000-000033010000}"/>
    <cellStyle name="Normal 6 3 3 4 2" xfId="974" xr:uid="{CD7E4872-9D39-4400-9AE0-D10D9568CAD7}"/>
    <cellStyle name="Normal 6 3 3 5" xfId="794" xr:uid="{EFB7F369-C77A-4031-990D-896ACC7EEFD4}"/>
    <cellStyle name="Normal 6 3 4" xfId="414" xr:uid="{00000000-0005-0000-0000-000037010000}"/>
    <cellStyle name="Normal 6 3 4 2" xfId="502" xr:uid="{00000000-0005-0000-0000-000038010000}"/>
    <cellStyle name="Normal 6 3 4 2 2" xfId="691" xr:uid="{00000000-0005-0000-0000-000038010000}"/>
    <cellStyle name="Normal 6 3 4 2 2 2" xfId="1093" xr:uid="{31749F12-D111-4EF0-BD42-5159BA36590F}"/>
    <cellStyle name="Normal 6 3 4 2 3" xfId="913" xr:uid="{F7819D4F-1429-4496-A08A-BA3B39302A74}"/>
    <cellStyle name="Normal 6 3 4 3" xfId="603" xr:uid="{00000000-0005-0000-0000-000037010000}"/>
    <cellStyle name="Normal 6 3 4 3 2" xfId="1005" xr:uid="{FC9D22F7-0145-4143-9C08-1697BB814FEE}"/>
    <cellStyle name="Normal 6 3 4 4" xfId="825" xr:uid="{E8E35548-2A9A-48A4-BBFE-EA74D1E21481}"/>
    <cellStyle name="Normal 6 3 5" xfId="458" xr:uid="{00000000-0005-0000-0000-000039010000}"/>
    <cellStyle name="Normal 6 3 5 2" xfId="647" xr:uid="{00000000-0005-0000-0000-000039010000}"/>
    <cellStyle name="Normal 6 3 5 2 2" xfId="1049" xr:uid="{88B416C8-DB73-4E8B-87DC-9E1641A147F8}"/>
    <cellStyle name="Normal 6 3 5 3" xfId="869" xr:uid="{9AB5FD5D-1CC9-4B63-A1F6-B8873A1F795E}"/>
    <cellStyle name="Normal 6 3 6" xfId="554" xr:uid="{00000000-0005-0000-0000-00002A010000}"/>
    <cellStyle name="Normal 6 3 6 2" xfId="959" xr:uid="{AB01F8C6-ACBB-440F-9B39-594CCDFCA96B}"/>
    <cellStyle name="Normal 6 3 7" xfId="781" xr:uid="{002F3FA5-5F66-4909-9C14-39F512CF7B28}"/>
    <cellStyle name="Normal 6 4" xfId="200" xr:uid="{00000000-0005-0000-0000-00003A010000}"/>
    <cellStyle name="Normal 6 4 2" xfId="375" xr:uid="{00000000-0005-0000-0000-00003B010000}"/>
    <cellStyle name="Normal 6 4 2 2" xfId="429" xr:uid="{00000000-0005-0000-0000-00003C010000}"/>
    <cellStyle name="Normal 6 4 2 2 2" xfId="517" xr:uid="{00000000-0005-0000-0000-00003D010000}"/>
    <cellStyle name="Normal 6 4 2 2 2 2" xfId="706" xr:uid="{00000000-0005-0000-0000-00003D010000}"/>
    <cellStyle name="Normal 6 4 2 2 2 2 2" xfId="1108" xr:uid="{37BC7DFE-26B1-4D16-8504-E13685F7F707}"/>
    <cellStyle name="Normal 6 4 2 2 2 3" xfId="928" xr:uid="{CFD315A9-9D27-484A-8EF0-F2AD3F88D59A}"/>
    <cellStyle name="Normal 6 4 2 2 3" xfId="618" xr:uid="{00000000-0005-0000-0000-00003C010000}"/>
    <cellStyle name="Normal 6 4 2 2 3 2" xfId="1020" xr:uid="{89172268-3E63-4295-9A3B-41D5F3CC3E3E}"/>
    <cellStyle name="Normal 6 4 2 2 4" xfId="840" xr:uid="{EF0F832A-35C0-4740-AA42-AD836C86FFD9}"/>
    <cellStyle name="Normal 6 4 2 3" xfId="473" xr:uid="{00000000-0005-0000-0000-00003E010000}"/>
    <cellStyle name="Normal 6 4 2 3 2" xfId="662" xr:uid="{00000000-0005-0000-0000-00003E010000}"/>
    <cellStyle name="Normal 6 4 2 3 2 2" xfId="1064" xr:uid="{9EB42955-7FE4-449A-A51D-7543B3496A63}"/>
    <cellStyle name="Normal 6 4 2 3 3" xfId="884" xr:uid="{BC6289FF-07E4-419A-9925-9719299D3219}"/>
    <cellStyle name="Normal 6 4 2 4" xfId="574" xr:uid="{00000000-0005-0000-0000-00003B010000}"/>
    <cellStyle name="Normal 6 4 2 4 2" xfId="976" xr:uid="{FCC77CA8-07F8-4E36-BD07-7329511DABD8}"/>
    <cellStyle name="Normal 6 4 2 5" xfId="796" xr:uid="{2CC1FBDD-CFAF-454B-83E5-074B396F735F}"/>
    <cellStyle name="Normal 6 4 3" xfId="416" xr:uid="{00000000-0005-0000-0000-00003F010000}"/>
    <cellStyle name="Normal 6 4 3 2" xfId="504" xr:uid="{00000000-0005-0000-0000-000040010000}"/>
    <cellStyle name="Normal 6 4 3 2 2" xfId="693" xr:uid="{00000000-0005-0000-0000-000040010000}"/>
    <cellStyle name="Normal 6 4 3 2 2 2" xfId="1095" xr:uid="{EB5D2D32-0492-4250-B5F4-7FB3B56F03BB}"/>
    <cellStyle name="Normal 6 4 3 2 3" xfId="915" xr:uid="{67A7E2A5-0F17-4B55-A5AC-9D26B3671B6D}"/>
    <cellStyle name="Normal 6 4 3 3" xfId="605" xr:uid="{00000000-0005-0000-0000-00003F010000}"/>
    <cellStyle name="Normal 6 4 3 3 2" xfId="1007" xr:uid="{E4422271-8A3C-40F1-B853-B91DAE2C410D}"/>
    <cellStyle name="Normal 6 4 3 4" xfId="827" xr:uid="{902DF74C-B66F-4C3E-A3B9-55B574C37DEC}"/>
    <cellStyle name="Normal 6 4 4" xfId="460" xr:uid="{00000000-0005-0000-0000-000041010000}"/>
    <cellStyle name="Normal 6 4 4 2" xfId="649" xr:uid="{00000000-0005-0000-0000-000041010000}"/>
    <cellStyle name="Normal 6 4 4 2 2" xfId="1051" xr:uid="{370A595B-1021-4203-899B-FC0234AC3780}"/>
    <cellStyle name="Normal 6 4 4 3" xfId="871" xr:uid="{479DA33E-B29F-460D-9CE8-E5B0B5B829E1}"/>
    <cellStyle name="Normal 6 4 5" xfId="556" xr:uid="{00000000-0005-0000-0000-00003A010000}"/>
    <cellStyle name="Normal 6 4 5 2" xfId="961" xr:uid="{B9B63E38-6A81-460C-82DA-C47B60378EAC}"/>
    <cellStyle name="Normal 6 4 6" xfId="783" xr:uid="{3E578822-849E-4B74-AC59-8C57C0A0BF80}"/>
    <cellStyle name="Normal 6 5" xfId="368" xr:uid="{00000000-0005-0000-0000-000042010000}"/>
    <cellStyle name="Normal 6 5 2" xfId="422" xr:uid="{00000000-0005-0000-0000-000043010000}"/>
    <cellStyle name="Normal 6 5 2 2" xfId="510" xr:uid="{00000000-0005-0000-0000-000044010000}"/>
    <cellStyle name="Normal 6 5 2 2 2" xfId="699" xr:uid="{00000000-0005-0000-0000-000044010000}"/>
    <cellStyle name="Normal 6 5 2 2 2 2" xfId="1101" xr:uid="{2CA4676C-5E0B-4CAD-A5EE-077F0F9DBBAD}"/>
    <cellStyle name="Normal 6 5 2 2 3" xfId="921" xr:uid="{0EBF065B-AD34-4F43-9293-003C0DFF1DEC}"/>
    <cellStyle name="Normal 6 5 2 3" xfId="611" xr:uid="{00000000-0005-0000-0000-000043010000}"/>
    <cellStyle name="Normal 6 5 2 3 2" xfId="1013" xr:uid="{CFF86FFF-BF17-46DC-8EE2-B9F2815E6AE2}"/>
    <cellStyle name="Normal 6 5 2 4" xfId="833" xr:uid="{A404CFA9-9A69-4429-962B-341335A06A3B}"/>
    <cellStyle name="Normal 6 5 3" xfId="466" xr:uid="{00000000-0005-0000-0000-000045010000}"/>
    <cellStyle name="Normal 6 5 3 2" xfId="655" xr:uid="{00000000-0005-0000-0000-000045010000}"/>
    <cellStyle name="Normal 6 5 3 2 2" xfId="1057" xr:uid="{1C8382DD-7313-4230-83DE-73CBA1D16125}"/>
    <cellStyle name="Normal 6 5 3 3" xfId="877" xr:uid="{F2B07DC8-9440-46B1-8A86-22B2DB563F07}"/>
    <cellStyle name="Normal 6 5 4" xfId="567" xr:uid="{00000000-0005-0000-0000-000042010000}"/>
    <cellStyle name="Normal 6 5 4 2" xfId="969" xr:uid="{0950DD75-7F4F-4522-A30A-A6516173F87D}"/>
    <cellStyle name="Normal 6 5 5" xfId="789" xr:uid="{70F2D64B-6DA9-458B-BFB9-C67FC8B6960F}"/>
    <cellStyle name="Normal 6 6" xfId="409" xr:uid="{00000000-0005-0000-0000-000046010000}"/>
    <cellStyle name="Normal 6 6 2" xfId="497" xr:uid="{00000000-0005-0000-0000-000047010000}"/>
    <cellStyle name="Normal 6 6 2 2" xfId="686" xr:uid="{00000000-0005-0000-0000-000047010000}"/>
    <cellStyle name="Normal 6 6 2 2 2" xfId="1088" xr:uid="{925AEF8C-19BE-4354-8045-3EC221FB30B4}"/>
    <cellStyle name="Normal 6 6 2 3" xfId="908" xr:uid="{283F9A80-73FD-4362-B971-ECAFE177D962}"/>
    <cellStyle name="Normal 6 6 3" xfId="598" xr:uid="{00000000-0005-0000-0000-000046010000}"/>
    <cellStyle name="Normal 6 6 3 2" xfId="1000" xr:uid="{E5FA2FD8-C549-4EF6-A6A4-5C3B40AF7135}"/>
    <cellStyle name="Normal 6 6 4" xfId="820" xr:uid="{5FE8EC6C-84EC-42E8-B7AF-AA8B4ADC51EC}"/>
    <cellStyle name="Normal 6 7" xfId="453" xr:uid="{00000000-0005-0000-0000-000048010000}"/>
    <cellStyle name="Normal 6 7 2" xfId="642" xr:uid="{00000000-0005-0000-0000-000048010000}"/>
    <cellStyle name="Normal 6 7 2 2" xfId="1044" xr:uid="{723B4533-D0E9-4B01-A452-839D11605189}"/>
    <cellStyle name="Normal 6 7 3" xfId="864" xr:uid="{99A9681E-F9E2-49E9-8D9B-BB69DE76789E}"/>
    <cellStyle name="Normal 6 8" xfId="549" xr:uid="{00000000-0005-0000-0000-000008010000}"/>
    <cellStyle name="Normal 6 8 2" xfId="954" xr:uid="{1E220E35-2647-4364-84A0-8018395BD066}"/>
    <cellStyle name="Normal 6 9" xfId="776" xr:uid="{6F6A9009-0F76-4A7F-AB80-9D3DF3C18C41}"/>
    <cellStyle name="Normal 7" xfId="201" xr:uid="{00000000-0005-0000-0000-000049010000}"/>
    <cellStyle name="Normal 8" xfId="202" xr:uid="{00000000-0005-0000-0000-00004A010000}"/>
    <cellStyle name="Normal 8 2" xfId="203" xr:uid="{00000000-0005-0000-0000-00004B010000}"/>
    <cellStyle name="Normal 8 2 2" xfId="377" xr:uid="{00000000-0005-0000-0000-00004C010000}"/>
    <cellStyle name="Normal 8 2 2 2" xfId="431" xr:uid="{00000000-0005-0000-0000-00004D010000}"/>
    <cellStyle name="Normal 8 2 2 2 2" xfId="519" xr:uid="{00000000-0005-0000-0000-00004E010000}"/>
    <cellStyle name="Normal 8 2 2 2 2 2" xfId="708" xr:uid="{00000000-0005-0000-0000-00004E010000}"/>
    <cellStyle name="Normal 8 2 2 2 2 2 2" xfId="1110" xr:uid="{5982BC47-1F97-451B-B607-B0DF4F460E73}"/>
    <cellStyle name="Normal 8 2 2 2 2 3" xfId="930" xr:uid="{94819A6E-4304-43B6-B6A9-55A7327EBC38}"/>
    <cellStyle name="Normal 8 2 2 2 3" xfId="620" xr:uid="{00000000-0005-0000-0000-00004D010000}"/>
    <cellStyle name="Normal 8 2 2 2 3 2" xfId="1022" xr:uid="{B39122CC-889A-421A-ADF7-8EF028CECFE0}"/>
    <cellStyle name="Normal 8 2 2 2 4" xfId="842" xr:uid="{7B32F19E-F5E1-4513-A494-317C40821ABD}"/>
    <cellStyle name="Normal 8 2 2 3" xfId="475" xr:uid="{00000000-0005-0000-0000-00004F010000}"/>
    <cellStyle name="Normal 8 2 2 3 2" xfId="664" xr:uid="{00000000-0005-0000-0000-00004F010000}"/>
    <cellStyle name="Normal 8 2 2 3 2 2" xfId="1066" xr:uid="{87F312F4-0C41-4987-A125-5584218A6A31}"/>
    <cellStyle name="Normal 8 2 2 3 3" xfId="886" xr:uid="{F7FDED8D-5031-4F0C-8DAC-2F439A7E4C3A}"/>
    <cellStyle name="Normal 8 2 2 4" xfId="576" xr:uid="{00000000-0005-0000-0000-00004C010000}"/>
    <cellStyle name="Normal 8 2 2 4 2" xfId="978" xr:uid="{E909351B-82DC-4B78-9D90-33896EF08A3E}"/>
    <cellStyle name="Normal 8 2 2 5" xfId="798" xr:uid="{55E5094C-B40A-476E-9530-E66BD0DD54D2}"/>
    <cellStyle name="Normal 8 2 3" xfId="418" xr:uid="{00000000-0005-0000-0000-000050010000}"/>
    <cellStyle name="Normal 8 2 3 2" xfId="506" xr:uid="{00000000-0005-0000-0000-000051010000}"/>
    <cellStyle name="Normal 8 2 3 2 2" xfId="695" xr:uid="{00000000-0005-0000-0000-000051010000}"/>
    <cellStyle name="Normal 8 2 3 2 2 2" xfId="1097" xr:uid="{6A342A68-8D42-468A-9BCE-89897D6C106D}"/>
    <cellStyle name="Normal 8 2 3 2 3" xfId="917" xr:uid="{E11A73BE-E67C-4F02-B3D5-504C636476A1}"/>
    <cellStyle name="Normal 8 2 3 3" xfId="607" xr:uid="{00000000-0005-0000-0000-000050010000}"/>
    <cellStyle name="Normal 8 2 3 3 2" xfId="1009" xr:uid="{DFCB08B5-16EA-432E-B8D8-E6BACCF0518D}"/>
    <cellStyle name="Normal 8 2 3 4" xfId="829" xr:uid="{B77434CC-88A0-45F6-B40D-26181ED6284D}"/>
    <cellStyle name="Normal 8 2 4" xfId="462" xr:uid="{00000000-0005-0000-0000-000052010000}"/>
    <cellStyle name="Normal 8 2 4 2" xfId="651" xr:uid="{00000000-0005-0000-0000-000052010000}"/>
    <cellStyle name="Normal 8 2 4 2 2" xfId="1053" xr:uid="{871E6258-27A5-47EA-ACBB-D0EBB6854E4C}"/>
    <cellStyle name="Normal 8 2 4 3" xfId="873" xr:uid="{8E60D092-BC75-4CEC-A9D1-2C8478E11884}"/>
    <cellStyle name="Normal 8 2 5" xfId="558" xr:uid="{00000000-0005-0000-0000-00004B010000}"/>
    <cellStyle name="Normal 8 2 5 2" xfId="963" xr:uid="{6BB52625-2663-4912-BF3F-4C72B5C85EA3}"/>
    <cellStyle name="Normal 8 2 6" xfId="785" xr:uid="{EF6BFE8B-71FE-4478-8B58-7619EB579DC7}"/>
    <cellStyle name="Normal 8 3" xfId="376" xr:uid="{00000000-0005-0000-0000-000053010000}"/>
    <cellStyle name="Normal 8 3 2" xfId="430" xr:uid="{00000000-0005-0000-0000-000054010000}"/>
    <cellStyle name="Normal 8 3 2 2" xfId="518" xr:uid="{00000000-0005-0000-0000-000055010000}"/>
    <cellStyle name="Normal 8 3 2 2 2" xfId="707" xr:uid="{00000000-0005-0000-0000-000055010000}"/>
    <cellStyle name="Normal 8 3 2 2 2 2" xfId="1109" xr:uid="{16AE4E7C-6FEC-4F5D-A669-7339BBFF1064}"/>
    <cellStyle name="Normal 8 3 2 2 3" xfId="929" xr:uid="{F4ACF153-9E7D-4EBB-B998-286B9A68E376}"/>
    <cellStyle name="Normal 8 3 2 3" xfId="619" xr:uid="{00000000-0005-0000-0000-000054010000}"/>
    <cellStyle name="Normal 8 3 2 3 2" xfId="1021" xr:uid="{403F7152-E4A7-4165-938C-7AC9FF6BD3AE}"/>
    <cellStyle name="Normal 8 3 2 4" xfId="841" xr:uid="{211B223B-AF87-4DD6-8D7B-9A1E3A4A9C65}"/>
    <cellStyle name="Normal 8 3 3" xfId="474" xr:uid="{00000000-0005-0000-0000-000056010000}"/>
    <cellStyle name="Normal 8 3 3 2" xfId="663" xr:uid="{00000000-0005-0000-0000-000056010000}"/>
    <cellStyle name="Normal 8 3 3 2 2" xfId="1065" xr:uid="{3F350BF0-D6CA-4F6E-87D4-B6805CF4B9D2}"/>
    <cellStyle name="Normal 8 3 3 3" xfId="885" xr:uid="{47DF65C3-EACD-4FC8-98D6-1B0574A46C3E}"/>
    <cellStyle name="Normal 8 3 4" xfId="575" xr:uid="{00000000-0005-0000-0000-000053010000}"/>
    <cellStyle name="Normal 8 3 4 2" xfId="977" xr:uid="{E9465B7C-FC37-4010-90DE-4D6453946558}"/>
    <cellStyle name="Normal 8 3 5" xfId="797" xr:uid="{0607A2B6-2DC6-4572-96D2-B21CF016F09F}"/>
    <cellStyle name="Normal 8 4" xfId="384" xr:uid="{00000000-0005-0000-0000-000057010000}"/>
    <cellStyle name="Normal 8 4 2" xfId="437" xr:uid="{00000000-0005-0000-0000-000058010000}"/>
    <cellStyle name="Normal 8 4 2 2" xfId="525" xr:uid="{00000000-0005-0000-0000-000059010000}"/>
    <cellStyle name="Normal 8 4 2 2 2" xfId="714" xr:uid="{00000000-0005-0000-0000-000059010000}"/>
    <cellStyle name="Normal 8 4 2 2 2 2" xfId="1116" xr:uid="{F38F299C-DC13-46E5-876C-8D1B6B0894F0}"/>
    <cellStyle name="Normal 8 4 2 2 3" xfId="936" xr:uid="{7EBB23F5-FCC8-43D4-8B67-8AAB8A05075C}"/>
    <cellStyle name="Normal 8 4 2 3" xfId="626" xr:uid="{00000000-0005-0000-0000-000058010000}"/>
    <cellStyle name="Normal 8 4 2 3 2" xfId="1028" xr:uid="{3CC3639D-A752-45BA-9365-577F608ADD34}"/>
    <cellStyle name="Normal 8 4 2 4" xfId="848" xr:uid="{CA313391-2DFF-4F72-82D3-62F76D10B1AE}"/>
    <cellStyle name="Normal 8 4 3" xfId="481" xr:uid="{00000000-0005-0000-0000-00005A010000}"/>
    <cellStyle name="Normal 8 4 3 2" xfId="670" xr:uid="{00000000-0005-0000-0000-00005A010000}"/>
    <cellStyle name="Normal 8 4 3 2 2" xfId="1072" xr:uid="{7AF9F262-41B5-496E-A319-F723D050B76B}"/>
    <cellStyle name="Normal 8 4 3 3" xfId="892" xr:uid="{1DC82D98-97B8-41BB-9995-31B5960E11AE}"/>
    <cellStyle name="Normal 8 4 4" xfId="582" xr:uid="{00000000-0005-0000-0000-000057010000}"/>
    <cellStyle name="Normal 8 4 4 2" xfId="984" xr:uid="{B7A47057-1FAE-480E-8BE2-217F6522BDBA}"/>
    <cellStyle name="Normal 8 4 5" xfId="804" xr:uid="{3CB39ECE-C86E-48A3-94E9-2608F3D5326D}"/>
    <cellStyle name="Normal 8 5" xfId="417" xr:uid="{00000000-0005-0000-0000-00005B010000}"/>
    <cellStyle name="Normal 8 5 2" xfId="505" xr:uid="{00000000-0005-0000-0000-00005C010000}"/>
    <cellStyle name="Normal 8 5 2 2" xfId="694" xr:uid="{00000000-0005-0000-0000-00005C010000}"/>
    <cellStyle name="Normal 8 5 2 2 2" xfId="1096" xr:uid="{144974EE-CC32-4897-B8C7-B00AD4D9110C}"/>
    <cellStyle name="Normal 8 5 2 3" xfId="916" xr:uid="{22079FAB-0770-4A50-85FD-EFD0BB0DC98D}"/>
    <cellStyle name="Normal 8 5 3" xfId="606" xr:uid="{00000000-0005-0000-0000-00005B010000}"/>
    <cellStyle name="Normal 8 5 3 2" xfId="1008" xr:uid="{F62D8C6D-3555-45BF-B4A7-6509F8685000}"/>
    <cellStyle name="Normal 8 5 4" xfId="828" xr:uid="{D6C9ED9A-C48E-4F2F-BE13-6A1F853F0D55}"/>
    <cellStyle name="Normal 8 6" xfId="461" xr:uid="{00000000-0005-0000-0000-00005D010000}"/>
    <cellStyle name="Normal 8 6 2" xfId="650" xr:uid="{00000000-0005-0000-0000-00005D010000}"/>
    <cellStyle name="Normal 8 6 2 2" xfId="1052" xr:uid="{ABE1ABB1-F4A4-46F8-954D-105DC9961CEC}"/>
    <cellStyle name="Normal 8 6 3" xfId="872" xr:uid="{EFCEC209-8635-4FBB-A27D-FD6DD7D01FB4}"/>
    <cellStyle name="Normal 8 7" xfId="557" xr:uid="{00000000-0005-0000-0000-00004A010000}"/>
    <cellStyle name="Normal 8 7 2" xfId="962" xr:uid="{9ABA9FB7-3BB1-4FF8-95F8-7214BBA57383}"/>
    <cellStyle name="Normal 8 8" xfId="784" xr:uid="{8E2B7875-8385-4D9D-96D1-720E1BCE3A03}"/>
    <cellStyle name="Normal 9" xfId="204" xr:uid="{00000000-0005-0000-0000-00005E010000}"/>
    <cellStyle name="Normal 9 2" xfId="205" xr:uid="{00000000-0005-0000-0000-00005F010000}"/>
    <cellStyle name="Normal 9 2 2" xfId="379" xr:uid="{00000000-0005-0000-0000-000060010000}"/>
    <cellStyle name="Normal 9 2 2 2" xfId="433" xr:uid="{00000000-0005-0000-0000-000061010000}"/>
    <cellStyle name="Normal 9 2 2 2 2" xfId="521" xr:uid="{00000000-0005-0000-0000-000062010000}"/>
    <cellStyle name="Normal 9 2 2 2 2 2" xfId="710" xr:uid="{00000000-0005-0000-0000-000062010000}"/>
    <cellStyle name="Normal 9 2 2 2 2 2 2" xfId="1112" xr:uid="{B5621F27-37D7-4F5A-8520-3BC0C3829C96}"/>
    <cellStyle name="Normal 9 2 2 2 2 3" xfId="932" xr:uid="{5E04F3B2-10F6-47F6-B226-4036F941E661}"/>
    <cellStyle name="Normal 9 2 2 2 3" xfId="622" xr:uid="{00000000-0005-0000-0000-000061010000}"/>
    <cellStyle name="Normal 9 2 2 2 3 2" xfId="1024" xr:uid="{12DD74A3-E451-441D-899C-5E45D4AE0DC6}"/>
    <cellStyle name="Normal 9 2 2 2 4" xfId="844" xr:uid="{3A82F616-275B-435E-87FE-ABB5653E3648}"/>
    <cellStyle name="Normal 9 2 2 3" xfId="477" xr:uid="{00000000-0005-0000-0000-000063010000}"/>
    <cellStyle name="Normal 9 2 2 3 2" xfId="666" xr:uid="{00000000-0005-0000-0000-000063010000}"/>
    <cellStyle name="Normal 9 2 2 3 2 2" xfId="1068" xr:uid="{26C32678-5FF3-4649-B3BF-5F2D5E2462E5}"/>
    <cellStyle name="Normal 9 2 2 3 3" xfId="888" xr:uid="{D3616717-4504-486A-811B-44094B0BEA1E}"/>
    <cellStyle name="Normal 9 2 2 4" xfId="578" xr:uid="{00000000-0005-0000-0000-000060010000}"/>
    <cellStyle name="Normal 9 2 2 4 2" xfId="980" xr:uid="{24AA0DCE-5FDC-4B16-93BD-16A0BB76F99B}"/>
    <cellStyle name="Normal 9 2 2 5" xfId="800" xr:uid="{40137909-35D0-418B-AD32-32E279BE14EF}"/>
    <cellStyle name="Normal 9 2 3" xfId="420" xr:uid="{00000000-0005-0000-0000-000064010000}"/>
    <cellStyle name="Normal 9 2 3 2" xfId="508" xr:uid="{00000000-0005-0000-0000-000065010000}"/>
    <cellStyle name="Normal 9 2 3 2 2" xfId="697" xr:uid="{00000000-0005-0000-0000-000065010000}"/>
    <cellStyle name="Normal 9 2 3 2 2 2" xfId="1099" xr:uid="{CCF44458-5FAF-4F7B-BBB4-D50DCCDEE08A}"/>
    <cellStyle name="Normal 9 2 3 2 3" xfId="919" xr:uid="{FBAE4350-6709-4665-97DD-9C75B442C60D}"/>
    <cellStyle name="Normal 9 2 3 3" xfId="609" xr:uid="{00000000-0005-0000-0000-000064010000}"/>
    <cellStyle name="Normal 9 2 3 3 2" xfId="1011" xr:uid="{A12E2F24-383A-4BCE-9A10-5907515C760E}"/>
    <cellStyle name="Normal 9 2 3 4" xfId="831" xr:uid="{C5B1DCE6-A200-4D21-9A45-E718430E5E8C}"/>
    <cellStyle name="Normal 9 2 4" xfId="464" xr:uid="{00000000-0005-0000-0000-000066010000}"/>
    <cellStyle name="Normal 9 2 4 2" xfId="653" xr:uid="{00000000-0005-0000-0000-000066010000}"/>
    <cellStyle name="Normal 9 2 4 2 2" xfId="1055" xr:uid="{DE5C5808-49E7-43C5-BFBE-97AD77137A25}"/>
    <cellStyle name="Normal 9 2 4 3" xfId="875" xr:uid="{A7B3CA2D-39F6-461E-9895-A2D3E17E888B}"/>
    <cellStyle name="Normal 9 2 5" xfId="560" xr:uid="{00000000-0005-0000-0000-00005F010000}"/>
    <cellStyle name="Normal 9 2 5 2" xfId="965" xr:uid="{7D56D7BA-D9B7-4A75-B5D8-E9C111C423C2}"/>
    <cellStyle name="Normal 9 2 6" xfId="787" xr:uid="{3207A61E-389C-4BD9-95EF-BA1F6B33280B}"/>
    <cellStyle name="Normal 9 3" xfId="378" xr:uid="{00000000-0005-0000-0000-000067010000}"/>
    <cellStyle name="Normal 9 3 2" xfId="432" xr:uid="{00000000-0005-0000-0000-000068010000}"/>
    <cellStyle name="Normal 9 3 2 2" xfId="520" xr:uid="{00000000-0005-0000-0000-000069010000}"/>
    <cellStyle name="Normal 9 3 2 2 2" xfId="709" xr:uid="{00000000-0005-0000-0000-000069010000}"/>
    <cellStyle name="Normal 9 3 2 2 2 2" xfId="1111" xr:uid="{F77E13F2-5079-4F09-BEBF-5F0CB7E2A507}"/>
    <cellStyle name="Normal 9 3 2 2 3" xfId="931" xr:uid="{000D87A3-8E22-4ABB-9858-94555F26DDAA}"/>
    <cellStyle name="Normal 9 3 2 3" xfId="621" xr:uid="{00000000-0005-0000-0000-000068010000}"/>
    <cellStyle name="Normal 9 3 2 3 2" xfId="1023" xr:uid="{E1AD8025-D155-4866-BDD1-3560A0E02B68}"/>
    <cellStyle name="Normal 9 3 2 4" xfId="843" xr:uid="{BA3819FA-05FF-4555-9424-E86820EB9832}"/>
    <cellStyle name="Normal 9 3 3" xfId="476" xr:uid="{00000000-0005-0000-0000-00006A010000}"/>
    <cellStyle name="Normal 9 3 3 2" xfId="665" xr:uid="{00000000-0005-0000-0000-00006A010000}"/>
    <cellStyle name="Normal 9 3 3 2 2" xfId="1067" xr:uid="{C0F14762-17C3-4FFF-98A5-3DFF3CE646C4}"/>
    <cellStyle name="Normal 9 3 3 3" xfId="887" xr:uid="{65AA9F68-8543-4143-A550-304E7730A034}"/>
    <cellStyle name="Normal 9 3 4" xfId="577" xr:uid="{00000000-0005-0000-0000-000067010000}"/>
    <cellStyle name="Normal 9 3 4 2" xfId="979" xr:uid="{72B29B47-EEA3-4F30-BBDE-38E7E8A710C6}"/>
    <cellStyle name="Normal 9 3 5" xfId="799" xr:uid="{4760CDA8-8913-4AF3-852F-91F3EAC658CB}"/>
    <cellStyle name="Normal 9 4" xfId="407" xr:uid="{00000000-0005-0000-0000-00006B010000}"/>
    <cellStyle name="Normal 9 4 2" xfId="451" xr:uid="{00000000-0005-0000-0000-00006C010000}"/>
    <cellStyle name="Normal 9 4 2 2" xfId="539" xr:uid="{00000000-0005-0000-0000-00006D010000}"/>
    <cellStyle name="Normal 9 4 2 2 2" xfId="728" xr:uid="{00000000-0005-0000-0000-00006D010000}"/>
    <cellStyle name="Normal 9 4 2 2 2 2" xfId="1130" xr:uid="{4CD401C8-2C38-4D67-8D81-CD055C4CEE79}"/>
    <cellStyle name="Normal 9 4 2 2 3" xfId="950" xr:uid="{7D8F8B2C-1DE8-48BF-9F57-A0AA9C153E6B}"/>
    <cellStyle name="Normal 9 4 2 3" xfId="640" xr:uid="{00000000-0005-0000-0000-00006C010000}"/>
    <cellStyle name="Normal 9 4 2 3 2" xfId="1042" xr:uid="{D29AD93C-69F5-4CD2-9AB1-554A65E9097C}"/>
    <cellStyle name="Normal 9 4 2 4" xfId="862" xr:uid="{7A8EB065-F8BC-4091-B2C7-3F7C16C104F4}"/>
    <cellStyle name="Normal 9 4 3" xfId="495" xr:uid="{00000000-0005-0000-0000-00006E010000}"/>
    <cellStyle name="Normal 9 4 3 2" xfId="684" xr:uid="{00000000-0005-0000-0000-00006E010000}"/>
    <cellStyle name="Normal 9 4 3 2 2" xfId="1086" xr:uid="{146B60AF-D0F1-4698-99AB-50900D347DEB}"/>
    <cellStyle name="Normal 9 4 3 3" xfId="906" xr:uid="{919BE3C3-92CC-4429-BCAC-C481EF05C586}"/>
    <cellStyle name="Normal 9 4 4" xfId="596" xr:uid="{00000000-0005-0000-0000-00006B010000}"/>
    <cellStyle name="Normal 9 4 4 2" xfId="998" xr:uid="{D8DCEF10-CEB9-4734-8DCA-D13C18CDAE50}"/>
    <cellStyle name="Normal 9 4 5" xfId="818" xr:uid="{BF8F06F6-9598-4F78-BFEA-16AC03733F88}"/>
    <cellStyle name="Normal 9 5" xfId="419" xr:uid="{00000000-0005-0000-0000-00006F010000}"/>
    <cellStyle name="Normal 9 5 2" xfId="507" xr:uid="{00000000-0005-0000-0000-000070010000}"/>
    <cellStyle name="Normal 9 5 2 2" xfId="696" xr:uid="{00000000-0005-0000-0000-000070010000}"/>
    <cellStyle name="Normal 9 5 2 2 2" xfId="1098" xr:uid="{F12B14DC-615E-4138-8960-28C56379F1AF}"/>
    <cellStyle name="Normal 9 5 2 3" xfId="918" xr:uid="{BE14B5F5-FD9A-47B7-88C5-2C85448AA5AE}"/>
    <cellStyle name="Normal 9 5 3" xfId="608" xr:uid="{00000000-0005-0000-0000-00006F010000}"/>
    <cellStyle name="Normal 9 5 3 2" xfId="1010" xr:uid="{717FC237-CC36-44D6-9789-5AE816024B42}"/>
    <cellStyle name="Normal 9 5 4" xfId="830" xr:uid="{D4F17FF5-677E-478A-BF55-072A317FB80E}"/>
    <cellStyle name="Normal 9 6" xfId="463" xr:uid="{00000000-0005-0000-0000-000071010000}"/>
    <cellStyle name="Normal 9 6 2" xfId="652" xr:uid="{00000000-0005-0000-0000-000071010000}"/>
    <cellStyle name="Normal 9 6 2 2" xfId="1054" xr:uid="{CABEE063-49EF-4CEB-A707-0C0610517CAE}"/>
    <cellStyle name="Normal 9 6 3" xfId="874" xr:uid="{B048306C-7CFD-4150-B0B6-DF19200DFD5A}"/>
    <cellStyle name="Normal 9 7" xfId="559" xr:uid="{00000000-0005-0000-0000-00005E010000}"/>
    <cellStyle name="Normal 9 7 2" xfId="964" xr:uid="{B689CDA4-AD58-44E5-99D6-F1C328F44AAE}"/>
    <cellStyle name="Normal 9 8" xfId="786" xr:uid="{F5F51CF8-DDA6-43B7-96CA-2532396EC38B}"/>
    <cellStyle name="Normal_21 Exh B" xfId="206" xr:uid="{00000000-0005-0000-0000-000072010000}"/>
    <cellStyle name="Normal_A" xfId="399" xr:uid="{00000000-0005-0000-0000-000073010000}"/>
    <cellStyle name="Normal_ATC Projected 2008 Monthly Plant Balances for Attachment O 2 (2)" xfId="207" xr:uid="{00000000-0005-0000-0000-000074010000}"/>
    <cellStyle name="Normal_Attachment GG Example 8 26 09" xfId="208" xr:uid="{00000000-0005-0000-0000-000075010000}"/>
    <cellStyle name="Normal_Attachment GG Template ER11-28 11-18-10" xfId="209" xr:uid="{00000000-0005-0000-0000-000076010000}"/>
    <cellStyle name="Normal_Attachment O Support - 2004 True-up" xfId="210" xr:uid="{00000000-0005-0000-0000-000077010000}"/>
    <cellStyle name="Normal_Attachment Os for 2002 True-up" xfId="211" xr:uid="{00000000-0005-0000-0000-000078010000}"/>
    <cellStyle name="Normal_interest calc Book1" xfId="383" xr:uid="{00000000-0005-0000-0000-000079010000}"/>
    <cellStyle name="Normal_Red Line and Clean Copy 5-5-2010 populated attachment 9 and supplement (2)" xfId="398" xr:uid="{00000000-0005-0000-0000-00007A010000}"/>
    <cellStyle name="Normal_Schedule O Info for Mike" xfId="212" xr:uid="{00000000-0005-0000-0000-00007B010000}"/>
    <cellStyle name="Output1_Back" xfId="213" xr:uid="{00000000-0005-0000-0000-00007C010000}"/>
    <cellStyle name="p" xfId="214" xr:uid="{00000000-0005-0000-0000-00007D010000}"/>
    <cellStyle name="p_2010 Attachment O  GG_082709" xfId="215" xr:uid="{00000000-0005-0000-0000-00007E010000}"/>
    <cellStyle name="p_2010 Attachment O Template Supporting Work Papers_ITC Midwest" xfId="216" xr:uid="{00000000-0005-0000-0000-00007F010000}"/>
    <cellStyle name="p_2010 Attachment O Template Supporting Work Papers_ITCTransmission" xfId="217" xr:uid="{00000000-0005-0000-0000-000080010000}"/>
    <cellStyle name="p_2010 Attachment O Template Supporting Work Papers_METC" xfId="218" xr:uid="{00000000-0005-0000-0000-000081010000}"/>
    <cellStyle name="p_2Mod11" xfId="219" xr:uid="{00000000-0005-0000-0000-000082010000}"/>
    <cellStyle name="p_aavidmod11.xls Chart 1" xfId="220" xr:uid="{00000000-0005-0000-0000-000083010000}"/>
    <cellStyle name="p_aavidmod11.xls Chart 2" xfId="221" xr:uid="{00000000-0005-0000-0000-000084010000}"/>
    <cellStyle name="p_Attachment O &amp; GG" xfId="222" xr:uid="{00000000-0005-0000-0000-000085010000}"/>
    <cellStyle name="p_charts for capm" xfId="223" xr:uid="{00000000-0005-0000-0000-000086010000}"/>
    <cellStyle name="p_DCF" xfId="224" xr:uid="{00000000-0005-0000-0000-000087010000}"/>
    <cellStyle name="p_DCF_2Mod11" xfId="225" xr:uid="{00000000-0005-0000-0000-000088010000}"/>
    <cellStyle name="p_DCF_aavidmod11.xls Chart 1" xfId="226" xr:uid="{00000000-0005-0000-0000-000089010000}"/>
    <cellStyle name="p_DCF_aavidmod11.xls Chart 2" xfId="227" xr:uid="{00000000-0005-0000-0000-00008A010000}"/>
    <cellStyle name="p_DCF_charts for capm" xfId="228" xr:uid="{00000000-0005-0000-0000-00008B010000}"/>
    <cellStyle name="p_DCF_DCF5" xfId="229" xr:uid="{00000000-0005-0000-0000-00008C010000}"/>
    <cellStyle name="p_DCF_Template2" xfId="230" xr:uid="{00000000-0005-0000-0000-00008D010000}"/>
    <cellStyle name="p_DCF_Template2_1" xfId="231" xr:uid="{00000000-0005-0000-0000-00008E010000}"/>
    <cellStyle name="p_DCF_VERA" xfId="232" xr:uid="{00000000-0005-0000-0000-00008F010000}"/>
    <cellStyle name="p_DCF_VERA_1" xfId="233" xr:uid="{00000000-0005-0000-0000-000090010000}"/>
    <cellStyle name="p_DCF_VERA_1_Template2" xfId="234" xr:uid="{00000000-0005-0000-0000-000091010000}"/>
    <cellStyle name="p_DCF_VERA_aavidmod11.xls Chart 2" xfId="235" xr:uid="{00000000-0005-0000-0000-000092010000}"/>
    <cellStyle name="p_DCF_VERA_Model02" xfId="236" xr:uid="{00000000-0005-0000-0000-000093010000}"/>
    <cellStyle name="p_DCF_VERA_Template2" xfId="237" xr:uid="{00000000-0005-0000-0000-000094010000}"/>
    <cellStyle name="p_DCF_VERA_VERA" xfId="238" xr:uid="{00000000-0005-0000-0000-000095010000}"/>
    <cellStyle name="p_DCF_VERA_VERA_1" xfId="239" xr:uid="{00000000-0005-0000-0000-000096010000}"/>
    <cellStyle name="p_DCF_VERA_VERA_2" xfId="240" xr:uid="{00000000-0005-0000-0000-000097010000}"/>
    <cellStyle name="p_DCF_VERA_VERA_Template2" xfId="241" xr:uid="{00000000-0005-0000-0000-000098010000}"/>
    <cellStyle name="p_DCF5" xfId="242" xr:uid="{00000000-0005-0000-0000-000099010000}"/>
    <cellStyle name="p_ITC Great Plains Formula 1-12-09a" xfId="243" xr:uid="{00000000-0005-0000-0000-00009A010000}"/>
    <cellStyle name="p_ITCM 2010 Template" xfId="244" xr:uid="{00000000-0005-0000-0000-00009B010000}"/>
    <cellStyle name="p_ITCMW 2009 Rate" xfId="245" xr:uid="{00000000-0005-0000-0000-00009C010000}"/>
    <cellStyle name="p_ITCMW 2010 Rate_083109" xfId="246" xr:uid="{00000000-0005-0000-0000-00009D010000}"/>
    <cellStyle name="p_ITCOP 2010 Rate_083109" xfId="247" xr:uid="{00000000-0005-0000-0000-00009E010000}"/>
    <cellStyle name="p_ITCT 2009 Rate" xfId="248" xr:uid="{00000000-0005-0000-0000-00009F010000}"/>
    <cellStyle name="p_ITCT New 2010 Attachment O &amp; GG_111209NL" xfId="249" xr:uid="{00000000-0005-0000-0000-0000A0010000}"/>
    <cellStyle name="p_METC 2010 Rate_083109" xfId="250" xr:uid="{00000000-0005-0000-0000-0000A1010000}"/>
    <cellStyle name="p_Template2" xfId="251" xr:uid="{00000000-0005-0000-0000-0000A2010000}"/>
    <cellStyle name="p_Template2_1" xfId="252" xr:uid="{00000000-0005-0000-0000-0000A3010000}"/>
    <cellStyle name="p_VERA" xfId="253" xr:uid="{00000000-0005-0000-0000-0000A4010000}"/>
    <cellStyle name="p_VERA_1" xfId="254" xr:uid="{00000000-0005-0000-0000-0000A5010000}"/>
    <cellStyle name="p_VERA_1_Template2" xfId="255" xr:uid="{00000000-0005-0000-0000-0000A6010000}"/>
    <cellStyle name="p_VERA_aavidmod11.xls Chart 2" xfId="256" xr:uid="{00000000-0005-0000-0000-0000A7010000}"/>
    <cellStyle name="p_VERA_Model02" xfId="257" xr:uid="{00000000-0005-0000-0000-0000A8010000}"/>
    <cellStyle name="p_VERA_Template2" xfId="258" xr:uid="{00000000-0005-0000-0000-0000A9010000}"/>
    <cellStyle name="p_VERA_VERA" xfId="259" xr:uid="{00000000-0005-0000-0000-0000AA010000}"/>
    <cellStyle name="p_VERA_VERA_1" xfId="260" xr:uid="{00000000-0005-0000-0000-0000AB010000}"/>
    <cellStyle name="p_VERA_VERA_2" xfId="261" xr:uid="{00000000-0005-0000-0000-0000AC010000}"/>
    <cellStyle name="p_VERA_VERA_Template2" xfId="262" xr:uid="{00000000-0005-0000-0000-0000AD010000}"/>
    <cellStyle name="p1" xfId="263" xr:uid="{00000000-0005-0000-0000-0000AE010000}"/>
    <cellStyle name="p2" xfId="264" xr:uid="{00000000-0005-0000-0000-0000AF010000}"/>
    <cellStyle name="p3" xfId="265" xr:uid="{00000000-0005-0000-0000-0000B0010000}"/>
    <cellStyle name="Percent" xfId="266" builtinId="5"/>
    <cellStyle name="Percent %" xfId="267" xr:uid="{00000000-0005-0000-0000-0000B2010000}"/>
    <cellStyle name="Percent % Long Underline" xfId="268" xr:uid="{00000000-0005-0000-0000-0000B3010000}"/>
    <cellStyle name="Percent (0)" xfId="269" xr:uid="{00000000-0005-0000-0000-0000B4010000}"/>
    <cellStyle name="Percent [0]" xfId="270" xr:uid="{00000000-0005-0000-0000-0000B5010000}"/>
    <cellStyle name="Percent [1]" xfId="271" xr:uid="{00000000-0005-0000-0000-0000B6010000}"/>
    <cellStyle name="Percent [2]" xfId="272" xr:uid="{00000000-0005-0000-0000-0000B7010000}"/>
    <cellStyle name="Percent [3]" xfId="273" xr:uid="{00000000-0005-0000-0000-0000B8010000}"/>
    <cellStyle name="Percent 0.0%" xfId="274" xr:uid="{00000000-0005-0000-0000-0000B9010000}"/>
    <cellStyle name="Percent 0.0% Long Underline" xfId="275" xr:uid="{00000000-0005-0000-0000-0000BA010000}"/>
    <cellStyle name="Percent 0.00%" xfId="276" xr:uid="{00000000-0005-0000-0000-0000BB010000}"/>
    <cellStyle name="Percent 0.00% Long Underline" xfId="277" xr:uid="{00000000-0005-0000-0000-0000BC010000}"/>
    <cellStyle name="Percent 0.000%" xfId="278" xr:uid="{00000000-0005-0000-0000-0000BD010000}"/>
    <cellStyle name="Percent 0.000% Long Underline" xfId="279" xr:uid="{00000000-0005-0000-0000-0000BE010000}"/>
    <cellStyle name="Percent 0.0000%" xfId="280" xr:uid="{00000000-0005-0000-0000-0000BF010000}"/>
    <cellStyle name="Percent 0.0000% Long Underline" xfId="281" xr:uid="{00000000-0005-0000-0000-0000C0010000}"/>
    <cellStyle name="Percent 10" xfId="731" xr:uid="{00000000-0005-0000-0000-00004F020000}"/>
    <cellStyle name="Percent 11" xfId="542" xr:uid="{00000000-0005-0000-0000-0000F8020000}"/>
    <cellStyle name="Percent 11 2" xfId="952" xr:uid="{86B7F0A3-232B-4F1F-9A8C-431456832F1B}"/>
    <cellStyle name="Percent 12" xfId="757" xr:uid="{00000000-0005-0000-0000-0000FE020000}"/>
    <cellStyle name="Percent 13" xfId="753" xr:uid="{00000000-0005-0000-0000-00000B030000}"/>
    <cellStyle name="Percent 14" xfId="760" xr:uid="{00000000-0005-0000-0000-00000F030000}"/>
    <cellStyle name="Percent 15" xfId="737" xr:uid="{00000000-0005-0000-0000-000013030000}"/>
    <cellStyle name="Percent 16" xfId="767" xr:uid="{00000000-0005-0000-0000-000017030000}"/>
    <cellStyle name="Percent 17" xfId="762" xr:uid="{00000000-0005-0000-0000-00001B030000}"/>
    <cellStyle name="Percent 18" xfId="758" xr:uid="{00000000-0005-0000-0000-00001F030000}"/>
    <cellStyle name="Percent 19" xfId="747" xr:uid="{00000000-0005-0000-0000-000023030000}"/>
    <cellStyle name="Percent 2" xfId="282" xr:uid="{00000000-0005-0000-0000-0000C1010000}"/>
    <cellStyle name="Percent 2 2" xfId="283" xr:uid="{00000000-0005-0000-0000-0000C2010000}"/>
    <cellStyle name="Percent 20" xfId="751" xr:uid="{00000000-0005-0000-0000-000027030000}"/>
    <cellStyle name="Percent 21" xfId="564" xr:uid="{00000000-0005-0000-0000-000020030000}"/>
    <cellStyle name="Percent 21 2" xfId="966" xr:uid="{FA918259-023A-4126-981B-EA4DE8C066F2}"/>
    <cellStyle name="Percent 22" xfId="769" xr:uid="{00000000-0005-0000-0000-000009000000}"/>
    <cellStyle name="Percent 23" xfId="1135" xr:uid="{00CBF9F5-9246-4C3E-A92A-B65F41C76850}"/>
    <cellStyle name="Percent 24" xfId="1147" xr:uid="{D8F248F5-5DCD-411C-A237-B173B4CA8DF2}"/>
    <cellStyle name="Percent 25" xfId="1156" xr:uid="{BC421B83-9837-4D8C-B576-EEC5ECDB560A}"/>
    <cellStyle name="Percent 26" xfId="1159" xr:uid="{060959DC-EB35-478F-A0C5-B88BBD6B0E9A}"/>
    <cellStyle name="Percent 27" xfId="1161" xr:uid="{F827F493-01EF-48E6-B77E-9B68B8D106EF}"/>
    <cellStyle name="Percent 3" xfId="284" xr:uid="{00000000-0005-0000-0000-0000C3010000}"/>
    <cellStyle name="Percent 3 2" xfId="285" xr:uid="{00000000-0005-0000-0000-0000C4010000}"/>
    <cellStyle name="Percent 4" xfId="286" xr:uid="{00000000-0005-0000-0000-0000C5010000}"/>
    <cellStyle name="Percent 5" xfId="287" xr:uid="{00000000-0005-0000-0000-0000C6010000}"/>
    <cellStyle name="Percent 6" xfId="288" xr:uid="{00000000-0005-0000-0000-0000C7010000}"/>
    <cellStyle name="Percent 7" xfId="289" xr:uid="{00000000-0005-0000-0000-0000C8010000}"/>
    <cellStyle name="Percent 8" xfId="382" xr:uid="{00000000-0005-0000-0000-0000C9010000}"/>
    <cellStyle name="Percent 8 2" xfId="436" xr:uid="{00000000-0005-0000-0000-0000CA010000}"/>
    <cellStyle name="Percent 8 2 2" xfId="524" xr:uid="{00000000-0005-0000-0000-0000CB010000}"/>
    <cellStyle name="Percent 8 2 2 2" xfId="713" xr:uid="{00000000-0005-0000-0000-0000CB010000}"/>
    <cellStyle name="Percent 8 2 2 2 2" xfId="1115" xr:uid="{7240487D-9350-461F-B210-BF9E78A82416}"/>
    <cellStyle name="Percent 8 2 2 3" xfId="935" xr:uid="{B81E3C20-6466-41ED-9462-DFE888342381}"/>
    <cellStyle name="Percent 8 2 3" xfId="625" xr:uid="{00000000-0005-0000-0000-0000CA010000}"/>
    <cellStyle name="Percent 8 2 3 2" xfId="1027" xr:uid="{AB8151D3-437D-4D91-A65E-2E9CFAE68FBD}"/>
    <cellStyle name="Percent 8 2 4" xfId="847" xr:uid="{29F5034D-1602-4BDD-97EE-B0955E9EBFF9}"/>
    <cellStyle name="Percent 8 3" xfId="480" xr:uid="{00000000-0005-0000-0000-0000CC010000}"/>
    <cellStyle name="Percent 8 3 2" xfId="669" xr:uid="{00000000-0005-0000-0000-0000CC010000}"/>
    <cellStyle name="Percent 8 3 2 2" xfId="1071" xr:uid="{08B8B2B1-F96A-40D3-9CBF-4A0B317ACF8B}"/>
    <cellStyle name="Percent 8 3 3" xfId="891" xr:uid="{D7CC6031-A0BA-4F33-8297-B4C99AB984FB}"/>
    <cellStyle name="Percent 8 4" xfId="581" xr:uid="{00000000-0005-0000-0000-0000C9010000}"/>
    <cellStyle name="Percent 8 4 2" xfId="983" xr:uid="{71EF5BAB-5DF8-478C-ACE5-47AB3093E4C6}"/>
    <cellStyle name="Percent 8 5" xfId="803" xr:uid="{6FC92FA0-3BD0-435C-BF5B-4205A84F3BB6}"/>
    <cellStyle name="Percent 9" xfId="562" xr:uid="{00000000-0005-0000-0000-0000E0010000}"/>
    <cellStyle name="Percent 9 2 2" xfId="391" xr:uid="{00000000-0005-0000-0000-0000CD010000}"/>
    <cellStyle name="Percent 9 2 2 2" xfId="402" xr:uid="{00000000-0005-0000-0000-0000CE010000}"/>
    <cellStyle name="Percent 9 2 2 3" xfId="441" xr:uid="{00000000-0005-0000-0000-0000CF010000}"/>
    <cellStyle name="Percent 9 2 2 3 2" xfId="529" xr:uid="{00000000-0005-0000-0000-0000D0010000}"/>
    <cellStyle name="Percent 9 2 2 3 2 2" xfId="718" xr:uid="{00000000-0005-0000-0000-0000D0010000}"/>
    <cellStyle name="Percent 9 2 2 3 2 2 2" xfId="1120" xr:uid="{558BD944-75C6-488A-8FDA-EB7874312D33}"/>
    <cellStyle name="Percent 9 2 2 3 2 3" xfId="940" xr:uid="{34DFC6E4-A23A-40F3-8EFA-2B40375E1EFB}"/>
    <cellStyle name="Percent 9 2 2 3 3" xfId="630" xr:uid="{00000000-0005-0000-0000-0000CF010000}"/>
    <cellStyle name="Percent 9 2 2 3 3 2" xfId="1032" xr:uid="{C77E70CF-451A-4ABE-9D41-3A961AA5D64E}"/>
    <cellStyle name="Percent 9 2 2 3 4" xfId="852" xr:uid="{190860FD-DBC8-4A89-910B-82604C0C8DD7}"/>
    <cellStyle name="Percent 9 2 2 4" xfId="485" xr:uid="{00000000-0005-0000-0000-0000D1010000}"/>
    <cellStyle name="Percent 9 2 2 4 2" xfId="674" xr:uid="{00000000-0005-0000-0000-0000D1010000}"/>
    <cellStyle name="Percent 9 2 2 4 2 2" xfId="1076" xr:uid="{514F63EE-9BCD-4885-B521-F0B48A7F74F0}"/>
    <cellStyle name="Percent 9 2 2 4 3" xfId="896" xr:uid="{1C78AF24-698B-4AE1-8407-8958EAFCD5F5}"/>
    <cellStyle name="Percent 9 2 2 5" xfId="586" xr:uid="{00000000-0005-0000-0000-0000CD010000}"/>
    <cellStyle name="Percent 9 2 2 5 2" xfId="988" xr:uid="{D177B938-D8B1-4DFD-AC49-4C1935048B89}"/>
    <cellStyle name="Percent 9 2 2 6" xfId="808" xr:uid="{36803F0F-91EF-43AB-9A82-2286E285D2C9}"/>
    <cellStyle name="Percent Input" xfId="290" xr:uid="{00000000-0005-0000-0000-0000D2010000}"/>
    <cellStyle name="Percent0" xfId="291" xr:uid="{00000000-0005-0000-0000-0000D3010000}"/>
    <cellStyle name="Percent1" xfId="292" xr:uid="{00000000-0005-0000-0000-0000D4010000}"/>
    <cellStyle name="Percent2" xfId="293" xr:uid="{00000000-0005-0000-0000-0000D5010000}"/>
    <cellStyle name="PSChar" xfId="294" xr:uid="{00000000-0005-0000-0000-0000D6010000}"/>
    <cellStyle name="PSChar 2" xfId="773" xr:uid="{00000000-0005-0000-0000-00000A000000}"/>
    <cellStyle name="PSDate" xfId="295" xr:uid="{00000000-0005-0000-0000-0000D7010000}"/>
    <cellStyle name="PSDec" xfId="296" xr:uid="{00000000-0005-0000-0000-0000D8010000}"/>
    <cellStyle name="PSdesc" xfId="297" xr:uid="{00000000-0005-0000-0000-0000D9010000}"/>
    <cellStyle name="PSHeading" xfId="298" xr:uid="{00000000-0005-0000-0000-0000DA010000}"/>
    <cellStyle name="PSInt" xfId="299" xr:uid="{00000000-0005-0000-0000-0000DB010000}"/>
    <cellStyle name="PSSpacer" xfId="300" xr:uid="{00000000-0005-0000-0000-0000DC010000}"/>
    <cellStyle name="PStest" xfId="301" xr:uid="{00000000-0005-0000-0000-0000DD010000}"/>
    <cellStyle name="R00A" xfId="302" xr:uid="{00000000-0005-0000-0000-0000DE010000}"/>
    <cellStyle name="R00B" xfId="303" xr:uid="{00000000-0005-0000-0000-0000DF010000}"/>
    <cellStyle name="R00L" xfId="304" xr:uid="{00000000-0005-0000-0000-0000E0010000}"/>
    <cellStyle name="R01A" xfId="305" xr:uid="{00000000-0005-0000-0000-0000E1010000}"/>
    <cellStyle name="R01B" xfId="306" xr:uid="{00000000-0005-0000-0000-0000E2010000}"/>
    <cellStyle name="R01H" xfId="307" xr:uid="{00000000-0005-0000-0000-0000E3010000}"/>
    <cellStyle name="R01L" xfId="308" xr:uid="{00000000-0005-0000-0000-0000E4010000}"/>
    <cellStyle name="R02A" xfId="309" xr:uid="{00000000-0005-0000-0000-0000E5010000}"/>
    <cellStyle name="R02B" xfId="310" xr:uid="{00000000-0005-0000-0000-0000E6010000}"/>
    <cellStyle name="R02H" xfId="311" xr:uid="{00000000-0005-0000-0000-0000E7010000}"/>
    <cellStyle name="R02L" xfId="312" xr:uid="{00000000-0005-0000-0000-0000E8010000}"/>
    <cellStyle name="R03A" xfId="313" xr:uid="{00000000-0005-0000-0000-0000E9010000}"/>
    <cellStyle name="R03B" xfId="314" xr:uid="{00000000-0005-0000-0000-0000EA010000}"/>
    <cellStyle name="R03H" xfId="315" xr:uid="{00000000-0005-0000-0000-0000EB010000}"/>
    <cellStyle name="R03L" xfId="316" xr:uid="{00000000-0005-0000-0000-0000EC010000}"/>
    <cellStyle name="R04A" xfId="317" xr:uid="{00000000-0005-0000-0000-0000ED010000}"/>
    <cellStyle name="R04B" xfId="318" xr:uid="{00000000-0005-0000-0000-0000EE010000}"/>
    <cellStyle name="R04H" xfId="319" xr:uid="{00000000-0005-0000-0000-0000EF010000}"/>
    <cellStyle name="R04L" xfId="320" xr:uid="{00000000-0005-0000-0000-0000F0010000}"/>
    <cellStyle name="R05A" xfId="321" xr:uid="{00000000-0005-0000-0000-0000F1010000}"/>
    <cellStyle name="R05B" xfId="322" xr:uid="{00000000-0005-0000-0000-0000F2010000}"/>
    <cellStyle name="R05H" xfId="323" xr:uid="{00000000-0005-0000-0000-0000F3010000}"/>
    <cellStyle name="R05L" xfId="324" xr:uid="{00000000-0005-0000-0000-0000F4010000}"/>
    <cellStyle name="R05L 2" xfId="325" xr:uid="{00000000-0005-0000-0000-0000F5010000}"/>
    <cellStyle name="R06A" xfId="326" xr:uid="{00000000-0005-0000-0000-0000F6010000}"/>
    <cellStyle name="R06B" xfId="327" xr:uid="{00000000-0005-0000-0000-0000F7010000}"/>
    <cellStyle name="R06H" xfId="328" xr:uid="{00000000-0005-0000-0000-0000F8010000}"/>
    <cellStyle name="R06L" xfId="329" xr:uid="{00000000-0005-0000-0000-0000F9010000}"/>
    <cellStyle name="R07A" xfId="330" xr:uid="{00000000-0005-0000-0000-0000FA010000}"/>
    <cellStyle name="R07B" xfId="331" xr:uid="{00000000-0005-0000-0000-0000FB010000}"/>
    <cellStyle name="R07H" xfId="332" xr:uid="{00000000-0005-0000-0000-0000FC010000}"/>
    <cellStyle name="R07L" xfId="333" xr:uid="{00000000-0005-0000-0000-0000FD010000}"/>
    <cellStyle name="rborder" xfId="334" xr:uid="{00000000-0005-0000-0000-0000FE010000}"/>
    <cellStyle name="red" xfId="335" xr:uid="{00000000-0005-0000-0000-0000FF010000}"/>
    <cellStyle name="s_HardInc " xfId="336" xr:uid="{00000000-0005-0000-0000-000000020000}"/>
    <cellStyle name="s_HardInc _ITC Great Plains Formula 1-12-09a" xfId="337" xr:uid="{00000000-0005-0000-0000-000001020000}"/>
    <cellStyle name="scenario" xfId="338" xr:uid="{00000000-0005-0000-0000-000002020000}"/>
    <cellStyle name="SECTION" xfId="339" xr:uid="{00000000-0005-0000-0000-000003020000}"/>
    <cellStyle name="Sheetmult" xfId="340" xr:uid="{00000000-0005-0000-0000-000004020000}"/>
    <cellStyle name="Shtmultx" xfId="341" xr:uid="{00000000-0005-0000-0000-000005020000}"/>
    <cellStyle name="Style 1" xfId="342" xr:uid="{00000000-0005-0000-0000-000006020000}"/>
    <cellStyle name="STYLE1" xfId="343" xr:uid="{00000000-0005-0000-0000-000007020000}"/>
    <cellStyle name="STYLE2" xfId="344" xr:uid="{00000000-0005-0000-0000-000008020000}"/>
    <cellStyle name="System Defined" xfId="345" xr:uid="{00000000-0005-0000-0000-000009020000}"/>
    <cellStyle name="TableHeading" xfId="346" xr:uid="{00000000-0005-0000-0000-00000A020000}"/>
    <cellStyle name="tb" xfId="347" xr:uid="{00000000-0005-0000-0000-00000B020000}"/>
    <cellStyle name="Tickmark" xfId="348" xr:uid="{00000000-0005-0000-0000-00000C020000}"/>
    <cellStyle name="Title1" xfId="349" xr:uid="{00000000-0005-0000-0000-00000D020000}"/>
    <cellStyle name="top" xfId="350" xr:uid="{00000000-0005-0000-0000-00000E020000}"/>
    <cellStyle name="Total" xfId="351" builtinId="25" customBuiltin="1"/>
    <cellStyle name="Total 2" xfId="563" xr:uid="{00000000-0005-0000-0000-00003E020000}"/>
    <cellStyle name="w" xfId="352" xr:uid="{00000000-0005-0000-0000-000010020000}"/>
    <cellStyle name="XComma" xfId="353" xr:uid="{00000000-0005-0000-0000-000011020000}"/>
    <cellStyle name="XComma 0.0" xfId="354" xr:uid="{00000000-0005-0000-0000-000012020000}"/>
    <cellStyle name="XComma 0.00" xfId="355" xr:uid="{00000000-0005-0000-0000-000013020000}"/>
    <cellStyle name="XComma 0.000" xfId="356" xr:uid="{00000000-0005-0000-0000-000014020000}"/>
    <cellStyle name="XCurrency" xfId="357" xr:uid="{00000000-0005-0000-0000-000015020000}"/>
    <cellStyle name="XCurrency 0.0" xfId="358" xr:uid="{00000000-0005-0000-0000-000016020000}"/>
    <cellStyle name="XCurrency 0.00" xfId="359" xr:uid="{00000000-0005-0000-0000-000017020000}"/>
    <cellStyle name="XCurrency 0.000" xfId="360" xr:uid="{00000000-0005-0000-0000-000018020000}"/>
    <cellStyle name="yra" xfId="361" xr:uid="{00000000-0005-0000-0000-000019020000}"/>
    <cellStyle name="yrActual" xfId="362" xr:uid="{00000000-0005-0000-0000-00001A020000}"/>
    <cellStyle name="yre" xfId="363" xr:uid="{00000000-0005-0000-0000-00001B020000}"/>
    <cellStyle name="yrExpect" xfId="364" xr:uid="{00000000-0005-0000-0000-00001C020000}"/>
  </cellStyles>
  <dxfs count="0"/>
  <tableStyles count="0" defaultTableStyle="TableStyleMedium2" defaultPivotStyle="PivotStyleLight16"/>
  <colors>
    <mruColors>
      <color rgb="FFFFFF99"/>
      <color rgb="FF00FF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35"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sterdat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WATER\WATE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00sy0\AppData\Local\Microsoft\Windows\Temporary%20Internet%20Files\Content.Outlook\7ENS6EE6\Formula%20December%202017%20True-up%20with%20Inter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BNW301\VOL5\STAFF\jdm\misc\2001%202Q\MERGER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BNW301\VOL5\STAFF\jdm\KMH\Merge\FERC%20Filing\FERC%20stmts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v_Req"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ersonal/galltj_exelonds_com/Documents/Desktop/Annual%20True-Up%20filed%202022%20for%20Year%202021/Individual%20File%20Parts/Appendix%202A%202021%20True%20Up%20Adjustment%20Calculation%20-%20N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 val="Charts"/>
      <sheetName val="DROPDOWN Lists"/>
      <sheetName val="Input - Drop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204"/>
      <sheetName val="222"/>
      <sheetName val="876"/>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und Amount Calculation"/>
      <sheetName val="Formula December 2017 True-up w"/>
    </sheetNames>
    <definedNames>
      <definedName name="DATAFEEDER" refersTo="#REF!"/>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qtr 2000"/>
      <sheetName val="Summary"/>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Oct-00"/>
      <sheetName val="CONSOLIDATING W ADJUSTMENTS"/>
      <sheetName val="mktprice"/>
      <sheetName val="Assumptions"/>
      <sheetName val="State ETR Calc"/>
      <sheetName val="LineItem Data"/>
      <sheetName val="SETUP-Review"/>
    </sheetNames>
    <sheetDataSet>
      <sheetData sheetId="0" refreshError="1">
        <row r="6">
          <cell r="A6" t="str">
            <v>UNAUDITED PROFORMA CONDENSED STATEMENT OF INCOME</v>
          </cell>
          <cell r="K6" t="str">
            <v>UNAUDITED PROFORMA CONDENSED STATEMENT OF INCOME</v>
          </cell>
          <cell r="V6" t="str">
            <v>UNAUDITED PRO FORMA COMBINED CONDENSED STATEMENT OF INCOME</v>
          </cell>
        </row>
        <row r="7">
          <cell r="A7" t="str">
            <v>(Millions Except Per Share Data)</v>
          </cell>
          <cell r="K7" t="str">
            <v>(Millions Except Per Share Data)</v>
          </cell>
          <cell r="V7" t="str">
            <v>(Millions Except Per Share Data)</v>
          </cell>
        </row>
        <row r="8">
          <cell r="A8" t="str">
            <v>FOR THE first six months ended June 30, 2000</v>
          </cell>
          <cell r="K8" t="str">
            <v>FOR THE first six months ended June 30, 2000</v>
          </cell>
          <cell r="V8" t="str">
            <v>FOR THE first six months ended June 30, 2000</v>
          </cell>
        </row>
        <row r="11">
          <cell r="I11" t="str">
            <v>PECO</v>
          </cell>
          <cell r="Y11" t="str">
            <v>PECO</v>
          </cell>
        </row>
        <row r="12">
          <cell r="D12" t="str">
            <v>PECO</v>
          </cell>
          <cell r="G12" t="str">
            <v>PECO Energy</v>
          </cell>
          <cell r="I12" t="str">
            <v>Energy</v>
          </cell>
          <cell r="P12" t="str">
            <v>UNICOM</v>
          </cell>
          <cell r="R12" t="str">
            <v>UNICOM</v>
          </cell>
          <cell r="T12" t="str">
            <v>UNICOM</v>
          </cell>
          <cell r="Y12" t="str">
            <v>Energy</v>
          </cell>
        </row>
        <row r="13">
          <cell r="D13" t="str">
            <v>Energy</v>
          </cell>
          <cell r="F13" t="str">
            <v xml:space="preserve">Chg in </v>
          </cell>
          <cell r="G13" t="str">
            <v>Transition Bond</v>
          </cell>
          <cell r="I13" t="str">
            <v>Prior to</v>
          </cell>
          <cell r="N13" t="str">
            <v>UNICOM</v>
          </cell>
          <cell r="P13" t="str">
            <v>Fossil Sale</v>
          </cell>
          <cell r="R13" t="str">
            <v>Share Buyback</v>
          </cell>
          <cell r="T13" t="str">
            <v>Prior to</v>
          </cell>
          <cell r="Y13" t="str">
            <v>Prior to</v>
          </cell>
          <cell r="AA13" t="str">
            <v>UNICOM</v>
          </cell>
          <cell r="AD13" t="str">
            <v>Merger</v>
          </cell>
          <cell r="AF13" t="str">
            <v>Merger</v>
          </cell>
        </row>
        <row r="14">
          <cell r="D14" t="str">
            <v>As</v>
          </cell>
          <cell r="F14" t="str">
            <v>Acct</v>
          </cell>
          <cell r="G14" t="str">
            <v>ProForma</v>
          </cell>
          <cell r="I14" t="str">
            <v>Merger</v>
          </cell>
          <cell r="N14" t="str">
            <v>As</v>
          </cell>
          <cell r="P14" t="str">
            <v>ProForma</v>
          </cell>
          <cell r="R14" t="str">
            <v>ProForma</v>
          </cell>
          <cell r="T14" t="str">
            <v>Merger</v>
          </cell>
          <cell r="Y14" t="str">
            <v>Merger</v>
          </cell>
          <cell r="AA14" t="str">
            <v>as</v>
          </cell>
          <cell r="AB14" t="str">
            <v>ComEd</v>
          </cell>
          <cell r="AD14" t="str">
            <v>Related</v>
          </cell>
          <cell r="AF14" t="str">
            <v>ProForma</v>
          </cell>
          <cell r="AH14" t="str">
            <v>Exelon</v>
          </cell>
        </row>
        <row r="15">
          <cell r="D15" t="str">
            <v>Filed</v>
          </cell>
          <cell r="E15" t="str">
            <v>Reclasses</v>
          </cell>
          <cell r="F15" t="str">
            <v>Princ</v>
          </cell>
          <cell r="G15" t="str">
            <v>Adjustments(1)</v>
          </cell>
          <cell r="I15" t="str">
            <v>ProForma</v>
          </cell>
          <cell r="N15" t="str">
            <v>Filed</v>
          </cell>
          <cell r="P15" t="str">
            <v>Adjustments(3)</v>
          </cell>
          <cell r="R15" t="str">
            <v>Adjustments(4)</v>
          </cell>
          <cell r="T15" t="str">
            <v>ProForma</v>
          </cell>
          <cell r="Y15" t="str">
            <v>ProForma</v>
          </cell>
          <cell r="AA15" t="str">
            <v>filed</v>
          </cell>
          <cell r="AB15" t="str">
            <v>Reclasses</v>
          </cell>
          <cell r="AD15" t="str">
            <v>Costs</v>
          </cell>
          <cell r="AF15" t="str">
            <v>Adjustments</v>
          </cell>
          <cell r="AH15" t="str">
            <v>ProForma</v>
          </cell>
        </row>
        <row r="16">
          <cell r="AD16" t="str">
            <v>UCM 25</v>
          </cell>
        </row>
        <row r="17">
          <cell r="A17" t="str">
            <v>Operating Revenues</v>
          </cell>
          <cell r="K17" t="str">
            <v>Operating Revenues</v>
          </cell>
          <cell r="V17" t="str">
            <v>Operating Revenues</v>
          </cell>
          <cell r="AD17" t="str">
            <v>PECO 20</v>
          </cell>
        </row>
        <row r="18">
          <cell r="B18" t="str">
            <v>Electric</v>
          </cell>
          <cell r="E18">
            <v>4</v>
          </cell>
          <cell r="F18">
            <v>0</v>
          </cell>
          <cell r="G18">
            <v>0</v>
          </cell>
          <cell r="I18">
            <v>4</v>
          </cell>
          <cell r="L18" t="str">
            <v>Electric</v>
          </cell>
          <cell r="N18">
            <v>3465</v>
          </cell>
          <cell r="P18">
            <v>0</v>
          </cell>
          <cell r="R18">
            <v>0</v>
          </cell>
          <cell r="T18">
            <v>3465</v>
          </cell>
          <cell r="W18" t="str">
            <v>Electric</v>
          </cell>
          <cell r="Y18">
            <v>4</v>
          </cell>
          <cell r="AA18">
            <v>3465</v>
          </cell>
          <cell r="AB18">
            <v>3</v>
          </cell>
          <cell r="AF18">
            <v>-14.047000000000001</v>
          </cell>
          <cell r="AH18">
            <v>3457.953</v>
          </cell>
        </row>
        <row r="19">
          <cell r="B19" t="str">
            <v>Gas</v>
          </cell>
          <cell r="D19">
            <v>2716</v>
          </cell>
          <cell r="E19">
            <v>6</v>
          </cell>
          <cell r="G19">
            <v>0</v>
          </cell>
          <cell r="I19">
            <v>2722</v>
          </cell>
          <cell r="L19" t="str">
            <v>Gas</v>
          </cell>
          <cell r="N19">
            <v>0</v>
          </cell>
          <cell r="P19">
            <v>0</v>
          </cell>
          <cell r="R19">
            <v>0</v>
          </cell>
          <cell r="T19">
            <v>0</v>
          </cell>
          <cell r="W19" t="str">
            <v>Gas</v>
          </cell>
          <cell r="Y19">
            <v>2722</v>
          </cell>
          <cell r="AA19">
            <v>0</v>
          </cell>
          <cell r="AB19">
            <v>0</v>
          </cell>
          <cell r="AD19">
            <v>0</v>
          </cell>
          <cell r="AF19">
            <v>0</v>
          </cell>
          <cell r="AH19">
            <v>2722</v>
          </cell>
        </row>
        <row r="20">
          <cell r="B20" t="str">
            <v xml:space="preserve">   Total Operating Revenues</v>
          </cell>
          <cell r="D20">
            <v>2716</v>
          </cell>
          <cell r="E20">
            <v>10</v>
          </cell>
          <cell r="F20">
            <v>0</v>
          </cell>
          <cell r="G20">
            <v>0</v>
          </cell>
          <cell r="I20">
            <v>2726</v>
          </cell>
          <cell r="L20" t="str">
            <v xml:space="preserve">   Total Operating Revenues</v>
          </cell>
          <cell r="N20">
            <v>3465</v>
          </cell>
          <cell r="P20">
            <v>0</v>
          </cell>
          <cell r="R20">
            <v>0</v>
          </cell>
          <cell r="T20">
            <v>3465</v>
          </cell>
          <cell r="W20" t="str">
            <v xml:space="preserve">   Total Operating Revenues</v>
          </cell>
          <cell r="Y20">
            <v>2726</v>
          </cell>
          <cell r="AA20">
            <v>3465</v>
          </cell>
          <cell r="AB20">
            <v>3</v>
          </cell>
          <cell r="AD20">
            <v>0</v>
          </cell>
          <cell r="AF20">
            <v>-14.047000000000001</v>
          </cell>
          <cell r="AH20">
            <v>6179.9529999999995</v>
          </cell>
        </row>
        <row r="22">
          <cell r="A22" t="str">
            <v>Operating Expenses</v>
          </cell>
          <cell r="K22" t="str">
            <v>Operating Expenses</v>
          </cell>
          <cell r="V22" t="str">
            <v>Operating Expenses</v>
          </cell>
        </row>
        <row r="23">
          <cell r="B23" t="str">
            <v>Fuel and Energy Interchange</v>
          </cell>
          <cell r="D23">
            <v>926</v>
          </cell>
          <cell r="E23">
            <v>6</v>
          </cell>
          <cell r="G23">
            <v>0</v>
          </cell>
          <cell r="I23">
            <v>932</v>
          </cell>
          <cell r="L23" t="str">
            <v>Fuel and Energy Interchange</v>
          </cell>
          <cell r="N23">
            <v>872</v>
          </cell>
          <cell r="P23">
            <v>0</v>
          </cell>
          <cell r="R23">
            <v>0</v>
          </cell>
          <cell r="T23">
            <v>872</v>
          </cell>
          <cell r="W23" t="str">
            <v>Fuel and Energy Interchange</v>
          </cell>
          <cell r="Y23">
            <v>932</v>
          </cell>
          <cell r="AA23">
            <v>872</v>
          </cell>
          <cell r="AF23">
            <v>-14.047000000000001</v>
          </cell>
          <cell r="AH23">
            <v>1789.953</v>
          </cell>
        </row>
        <row r="24">
          <cell r="B24" t="str">
            <v>Operation and Maintenance</v>
          </cell>
          <cell r="D24">
            <v>835</v>
          </cell>
          <cell r="E24">
            <v>10</v>
          </cell>
          <cell r="F24">
            <v>-5</v>
          </cell>
          <cell r="G24">
            <v>0</v>
          </cell>
          <cell r="I24">
            <v>840</v>
          </cell>
          <cell r="L24" t="str">
            <v>Operation and Maintenance</v>
          </cell>
          <cell r="N24">
            <v>1094</v>
          </cell>
          <cell r="P24">
            <v>0</v>
          </cell>
          <cell r="R24">
            <v>0</v>
          </cell>
          <cell r="T24">
            <v>1094</v>
          </cell>
          <cell r="W24" t="str">
            <v>Operation and Maintenance</v>
          </cell>
          <cell r="Y24">
            <v>840</v>
          </cell>
          <cell r="AA24">
            <v>1094</v>
          </cell>
          <cell r="AD24">
            <v>-45</v>
          </cell>
          <cell r="AF24">
            <v>22.9</v>
          </cell>
          <cell r="AH24">
            <v>1911.9</v>
          </cell>
        </row>
        <row r="25">
          <cell r="B25" t="str">
            <v>Depreciation and Amortization</v>
          </cell>
          <cell r="D25">
            <v>160</v>
          </cell>
          <cell r="E25">
            <v>0</v>
          </cell>
          <cell r="F25">
            <v>0</v>
          </cell>
          <cell r="G25">
            <v>0</v>
          </cell>
          <cell r="I25">
            <v>160</v>
          </cell>
          <cell r="L25" t="str">
            <v>Depreciation and Amortization</v>
          </cell>
          <cell r="N25">
            <v>601</v>
          </cell>
          <cell r="P25">
            <v>0</v>
          </cell>
          <cell r="R25">
            <v>0</v>
          </cell>
          <cell r="T25">
            <v>601</v>
          </cell>
          <cell r="W25" t="str">
            <v>Depreciation and Amortization</v>
          </cell>
          <cell r="Y25">
            <v>160</v>
          </cell>
          <cell r="AA25">
            <v>601</v>
          </cell>
          <cell r="AF25">
            <v>-110</v>
          </cell>
          <cell r="AH25">
            <v>651</v>
          </cell>
        </row>
        <row r="26">
          <cell r="B26" t="str">
            <v>Goodwill Amortization</v>
          </cell>
          <cell r="D26">
            <v>1</v>
          </cell>
          <cell r="E26">
            <v>0</v>
          </cell>
          <cell r="F26">
            <v>0</v>
          </cell>
          <cell r="G26">
            <v>0</v>
          </cell>
          <cell r="I26">
            <v>1</v>
          </cell>
          <cell r="L26" t="str">
            <v>Goodwill Amortization</v>
          </cell>
          <cell r="N26">
            <v>1</v>
          </cell>
          <cell r="P26">
            <v>0</v>
          </cell>
          <cell r="R26">
            <v>0</v>
          </cell>
          <cell r="T26">
            <v>1</v>
          </cell>
          <cell r="W26" t="str">
            <v>Goodwill Amortization</v>
          </cell>
          <cell r="Y26">
            <v>1</v>
          </cell>
          <cell r="AA26">
            <v>1</v>
          </cell>
          <cell r="AF26">
            <v>59.862498736856949</v>
          </cell>
          <cell r="AH26">
            <v>61.862498736856949</v>
          </cell>
        </row>
        <row r="27">
          <cell r="B27" t="str">
            <v>Taxes Other Than Income Taxes</v>
          </cell>
          <cell r="D27">
            <v>130</v>
          </cell>
          <cell r="E27">
            <v>0</v>
          </cell>
          <cell r="F27">
            <v>0</v>
          </cell>
          <cell r="G27">
            <v>0</v>
          </cell>
          <cell r="I27">
            <v>130</v>
          </cell>
          <cell r="L27" t="str">
            <v>Taxes Other Than Income Taxes</v>
          </cell>
          <cell r="N27">
            <v>268</v>
          </cell>
          <cell r="P27">
            <v>0</v>
          </cell>
          <cell r="R27">
            <v>0</v>
          </cell>
          <cell r="T27">
            <v>268</v>
          </cell>
          <cell r="W27" t="str">
            <v>Taxes Other Than Income Taxes</v>
          </cell>
          <cell r="Y27">
            <v>130</v>
          </cell>
          <cell r="AA27">
            <v>268</v>
          </cell>
          <cell r="AF27">
            <v>0</v>
          </cell>
          <cell r="AH27">
            <v>398</v>
          </cell>
        </row>
        <row r="28">
          <cell r="B28" t="str">
            <v xml:space="preserve">   Total Operating Expenses</v>
          </cell>
          <cell r="D28">
            <v>2052</v>
          </cell>
          <cell r="E28">
            <v>16</v>
          </cell>
          <cell r="F28">
            <v>-5</v>
          </cell>
          <cell r="G28">
            <v>0</v>
          </cell>
          <cell r="I28">
            <v>2063</v>
          </cell>
          <cell r="L28" t="str">
            <v xml:space="preserve">   Total Operating Expenses</v>
          </cell>
          <cell r="N28">
            <v>2836</v>
          </cell>
          <cell r="P28">
            <v>0</v>
          </cell>
          <cell r="R28">
            <v>0</v>
          </cell>
          <cell r="T28">
            <v>2836</v>
          </cell>
          <cell r="W28" t="str">
            <v xml:space="preserve">   Total Operating Expenses</v>
          </cell>
          <cell r="Y28">
            <v>2063</v>
          </cell>
          <cell r="AA28">
            <v>2836</v>
          </cell>
          <cell r="AB28">
            <v>0</v>
          </cell>
          <cell r="AD28">
            <v>-45</v>
          </cell>
          <cell r="AF28">
            <v>-41.284501263143056</v>
          </cell>
          <cell r="AH28">
            <v>4812.7154987368567</v>
          </cell>
        </row>
        <row r="29">
          <cell r="A29" t="str">
            <v xml:space="preserve">Operating Income </v>
          </cell>
          <cell r="D29">
            <v>664</v>
          </cell>
          <cell r="E29">
            <v>-6</v>
          </cell>
          <cell r="F29">
            <v>5</v>
          </cell>
          <cell r="G29">
            <v>0</v>
          </cell>
          <cell r="I29">
            <v>663</v>
          </cell>
          <cell r="K29" t="str">
            <v xml:space="preserve">Operating Income </v>
          </cell>
          <cell r="N29">
            <v>629</v>
          </cell>
          <cell r="P29">
            <v>0</v>
          </cell>
          <cell r="R29">
            <v>0</v>
          </cell>
          <cell r="T29">
            <v>629</v>
          </cell>
          <cell r="V29" t="str">
            <v xml:space="preserve">Operating Income </v>
          </cell>
          <cell r="Y29">
            <v>663</v>
          </cell>
          <cell r="AA29">
            <v>629</v>
          </cell>
          <cell r="AB29">
            <v>3</v>
          </cell>
          <cell r="AD29">
            <v>45</v>
          </cell>
          <cell r="AF29">
            <v>27.237501263143056</v>
          </cell>
          <cell r="AH29">
            <v>1367.2375012631428</v>
          </cell>
        </row>
        <row r="30">
          <cell r="A30" t="str">
            <v>Other Income and Deductions</v>
          </cell>
          <cell r="K30" t="str">
            <v>Other Income and Deductions</v>
          </cell>
          <cell r="V30" t="str">
            <v>Other Income and Deductions</v>
          </cell>
        </row>
        <row r="31">
          <cell r="B31" t="str">
            <v>Interest Expense</v>
          </cell>
          <cell r="D31">
            <v>-220</v>
          </cell>
          <cell r="G31">
            <v>-11.761926795666664</v>
          </cell>
          <cell r="I31">
            <v>-231.76192679566665</v>
          </cell>
          <cell r="L31" t="str">
            <v>Interest Expense</v>
          </cell>
          <cell r="N31">
            <v>-270</v>
          </cell>
          <cell r="P31">
            <v>0</v>
          </cell>
          <cell r="R31">
            <v>0</v>
          </cell>
          <cell r="T31">
            <v>-270</v>
          </cell>
          <cell r="W31" t="str">
            <v>Interest Expense</v>
          </cell>
          <cell r="Y31">
            <v>-231.76192679566665</v>
          </cell>
          <cell r="AA31">
            <v>-270</v>
          </cell>
          <cell r="AF31">
            <v>-11</v>
          </cell>
          <cell r="AH31">
            <v>-512.76192679566668</v>
          </cell>
        </row>
        <row r="32">
          <cell r="B32" t="str">
            <v>Pref Div</v>
          </cell>
          <cell r="D32">
            <v>-5</v>
          </cell>
          <cell r="E32">
            <v>0</v>
          </cell>
          <cell r="F32">
            <v>0</v>
          </cell>
          <cell r="G32">
            <v>0</v>
          </cell>
          <cell r="I32">
            <v>-5</v>
          </cell>
          <cell r="L32" t="str">
            <v>Pref Div</v>
          </cell>
          <cell r="N32">
            <v>-17</v>
          </cell>
          <cell r="P32">
            <v>0</v>
          </cell>
          <cell r="R32">
            <v>0</v>
          </cell>
          <cell r="T32">
            <v>-17</v>
          </cell>
          <cell r="W32" t="str">
            <v>Pref Div</v>
          </cell>
          <cell r="Y32">
            <v>-5</v>
          </cell>
          <cell r="AA32">
            <v>-17</v>
          </cell>
          <cell r="AF32">
            <v>-5</v>
          </cell>
          <cell r="AH32">
            <v>-27</v>
          </cell>
        </row>
        <row r="33">
          <cell r="B33" t="str">
            <v>Other, net</v>
          </cell>
          <cell r="D33">
            <v>24</v>
          </cell>
          <cell r="E33">
            <v>6</v>
          </cell>
          <cell r="I33">
            <v>30</v>
          </cell>
          <cell r="L33" t="str">
            <v>Other, net</v>
          </cell>
          <cell r="N33">
            <v>103</v>
          </cell>
          <cell r="P33">
            <v>0</v>
          </cell>
          <cell r="R33">
            <v>0</v>
          </cell>
          <cell r="T33">
            <v>103</v>
          </cell>
          <cell r="W33" t="str">
            <v>Other, net</v>
          </cell>
          <cell r="Y33">
            <v>30</v>
          </cell>
          <cell r="AA33">
            <v>103</v>
          </cell>
          <cell r="AB33">
            <v>-3</v>
          </cell>
          <cell r="AF33">
            <v>0</v>
          </cell>
          <cell r="AH33">
            <v>130</v>
          </cell>
        </row>
        <row r="34">
          <cell r="B34" t="str">
            <v xml:space="preserve">   Total Other Income and Deductions</v>
          </cell>
          <cell r="D34">
            <v>-201</v>
          </cell>
          <cell r="E34">
            <v>6</v>
          </cell>
          <cell r="F34">
            <v>0</v>
          </cell>
          <cell r="G34">
            <v>-11.761926795666664</v>
          </cell>
          <cell r="I34">
            <v>-206.76192679566665</v>
          </cell>
          <cell r="L34" t="str">
            <v xml:space="preserve">   Total Other Income and Deductions</v>
          </cell>
          <cell r="N34">
            <v>-184</v>
          </cell>
          <cell r="P34">
            <v>0</v>
          </cell>
          <cell r="R34">
            <v>0</v>
          </cell>
          <cell r="T34">
            <v>-184</v>
          </cell>
          <cell r="W34" t="str">
            <v xml:space="preserve">   Total Other Income and Deductions</v>
          </cell>
          <cell r="Y34">
            <v>-206.76192679566665</v>
          </cell>
          <cell r="AA34">
            <v>-184</v>
          </cell>
          <cell r="AB34">
            <v>-3</v>
          </cell>
          <cell r="AD34">
            <v>0</v>
          </cell>
          <cell r="AF34">
            <v>-16</v>
          </cell>
          <cell r="AH34">
            <v>-409.76192679566668</v>
          </cell>
        </row>
        <row r="36">
          <cell r="A36" t="str">
            <v>Income Before Income Taxes</v>
          </cell>
          <cell r="K36" t="str">
            <v>Income Before Income Taxes</v>
          </cell>
          <cell r="V36" t="str">
            <v>Income Before Income Taxes</v>
          </cell>
        </row>
        <row r="37">
          <cell r="A37" t="str">
            <v>and Extraordinary Item</v>
          </cell>
          <cell r="D37">
            <v>463</v>
          </cell>
          <cell r="E37">
            <v>0</v>
          </cell>
          <cell r="F37">
            <v>5</v>
          </cell>
          <cell r="G37">
            <v>-11.761926795666664</v>
          </cell>
          <cell r="I37">
            <v>456.23807320433332</v>
          </cell>
          <cell r="K37" t="str">
            <v>and Extraordinary Item</v>
          </cell>
          <cell r="N37">
            <v>445</v>
          </cell>
          <cell r="P37">
            <v>0</v>
          </cell>
          <cell r="R37">
            <v>0</v>
          </cell>
          <cell r="T37">
            <v>445</v>
          </cell>
          <cell r="V37" t="str">
            <v>and Extraordinary Item</v>
          </cell>
          <cell r="Y37">
            <v>456.23807320433332</v>
          </cell>
          <cell r="AA37">
            <v>445</v>
          </cell>
          <cell r="AB37">
            <v>0</v>
          </cell>
          <cell r="AD37">
            <v>45</v>
          </cell>
          <cell r="AF37">
            <v>11.237501263143056</v>
          </cell>
          <cell r="AH37">
            <v>957.47557446747612</v>
          </cell>
        </row>
        <row r="38">
          <cell r="A38" t="str">
            <v xml:space="preserve"> </v>
          </cell>
          <cell r="K38" t="str">
            <v xml:space="preserve"> </v>
          </cell>
          <cell r="V38" t="str">
            <v xml:space="preserve"> </v>
          </cell>
        </row>
        <row r="39">
          <cell r="A39" t="str">
            <v xml:space="preserve">Income Tax Expense </v>
          </cell>
          <cell r="D39">
            <v>174</v>
          </cell>
          <cell r="F39">
            <v>2</v>
          </cell>
          <cell r="G39">
            <v>-4.7047707182666656</v>
          </cell>
          <cell r="I39">
            <v>171.29522928173333</v>
          </cell>
          <cell r="K39" t="str">
            <v xml:space="preserve">Income Tax Expense </v>
          </cell>
          <cell r="N39">
            <v>102</v>
          </cell>
          <cell r="P39">
            <v>0</v>
          </cell>
          <cell r="R39">
            <v>0</v>
          </cell>
          <cell r="T39">
            <v>102</v>
          </cell>
          <cell r="V39" t="str">
            <v xml:space="preserve">Income Tax Expense </v>
          </cell>
          <cell r="Y39">
            <v>171.29522928173333</v>
          </cell>
          <cell r="AA39">
            <v>102</v>
          </cell>
          <cell r="AB39">
            <v>0</v>
          </cell>
          <cell r="AD39">
            <v>18</v>
          </cell>
          <cell r="AF39">
            <v>38.095820000000003</v>
          </cell>
          <cell r="AH39">
            <v>329.39104928173333</v>
          </cell>
        </row>
        <row r="40">
          <cell r="A40" t="str">
            <v>Income Before Extraordinary Item</v>
          </cell>
          <cell r="D40">
            <v>289</v>
          </cell>
          <cell r="E40">
            <v>0</v>
          </cell>
          <cell r="F40">
            <v>3</v>
          </cell>
          <cell r="G40">
            <v>-7.0571560773999984</v>
          </cell>
          <cell r="I40">
            <v>284.94284392259999</v>
          </cell>
          <cell r="K40" t="str">
            <v>Income Before Extraordinary Item</v>
          </cell>
          <cell r="N40">
            <v>343</v>
          </cell>
          <cell r="P40">
            <v>0</v>
          </cell>
          <cell r="R40">
            <v>0</v>
          </cell>
          <cell r="T40">
            <v>343</v>
          </cell>
          <cell r="V40" t="str">
            <v>Income Before Extraordinary Item</v>
          </cell>
          <cell r="Y40">
            <v>284.94284392259999</v>
          </cell>
          <cell r="AA40">
            <v>343</v>
          </cell>
          <cell r="AB40">
            <v>0</v>
          </cell>
          <cell r="AD40">
            <v>27</v>
          </cell>
          <cell r="AF40">
            <v>-26.858318736856948</v>
          </cell>
          <cell r="AH40">
            <v>628.08452518574279</v>
          </cell>
        </row>
        <row r="41">
          <cell r="B41" t="str">
            <v>Extraordinary</v>
          </cell>
          <cell r="D41">
            <v>-3</v>
          </cell>
          <cell r="I41">
            <v>-3</v>
          </cell>
          <cell r="W41" t="str">
            <v>PECO Extraordinary</v>
          </cell>
          <cell r="Y41">
            <v>-3</v>
          </cell>
          <cell r="AH41">
            <v>-3</v>
          </cell>
        </row>
        <row r="42">
          <cell r="W42" t="str">
            <v>PECO chg in acct prin ($22 million pre tax)( not needed for proforma purposes)</v>
          </cell>
        </row>
        <row r="43">
          <cell r="L43" t="str">
            <v>Extraordinary</v>
          </cell>
          <cell r="N43">
            <v>-4</v>
          </cell>
          <cell r="W43" t="str">
            <v>ComEd Extraordinary</v>
          </cell>
          <cell r="AA43">
            <v>-4</v>
          </cell>
          <cell r="AH43">
            <v>-4</v>
          </cell>
        </row>
        <row r="44">
          <cell r="W44" t="str">
            <v>Net Income</v>
          </cell>
          <cell r="Y44">
            <v>281.94284392259999</v>
          </cell>
          <cell r="AA44">
            <v>339</v>
          </cell>
          <cell r="AB44">
            <v>0</v>
          </cell>
          <cell r="AD44">
            <v>27</v>
          </cell>
          <cell r="AF44">
            <v>-26.858318736856948</v>
          </cell>
          <cell r="AH44">
            <v>621.08452518574279</v>
          </cell>
        </row>
        <row r="45">
          <cell r="A45" t="str">
            <v>Preferred Stock Dividend</v>
          </cell>
          <cell r="D45">
            <v>5</v>
          </cell>
          <cell r="I45">
            <v>5</v>
          </cell>
          <cell r="V45" t="str">
            <v>Pref Dividend</v>
          </cell>
          <cell r="Y45">
            <v>5</v>
          </cell>
          <cell r="AF45">
            <v>-5</v>
          </cell>
          <cell r="AH45">
            <v>0</v>
          </cell>
        </row>
        <row r="46">
          <cell r="B46" t="str">
            <v>Net Income on Common</v>
          </cell>
          <cell r="D46">
            <v>281</v>
          </cell>
          <cell r="W46" t="str">
            <v>Net Income on Common</v>
          </cell>
          <cell r="Y46">
            <v>276.94284392259999</v>
          </cell>
          <cell r="AA46">
            <v>339</v>
          </cell>
          <cell r="AB46">
            <v>0</v>
          </cell>
          <cell r="AD46">
            <v>27</v>
          </cell>
          <cell r="AF46">
            <v>-21.858318736856948</v>
          </cell>
          <cell r="AH46">
            <v>621.08452518574279</v>
          </cell>
        </row>
        <row r="48">
          <cell r="V48" t="str">
            <v>Income Before Extraordinary</v>
          </cell>
        </row>
        <row r="49">
          <cell r="A49" t="str">
            <v>Income Before Extraordinary</v>
          </cell>
          <cell r="K49" t="str">
            <v>Income Before Extraordinary</v>
          </cell>
          <cell r="T49" t="str">
            <v>info only</v>
          </cell>
          <cell r="V49" t="str">
            <v xml:space="preserve">   Item per Share</v>
          </cell>
          <cell r="AH49">
            <v>1.9469734331841466</v>
          </cell>
        </row>
        <row r="50">
          <cell r="A50" t="str">
            <v xml:space="preserve">   Item per Share</v>
          </cell>
          <cell r="D50" t="e">
            <v>#DIV/0!</v>
          </cell>
          <cell r="K50" t="str">
            <v xml:space="preserve">   Item per Share</v>
          </cell>
          <cell r="N50">
            <v>1.578462954440865</v>
          </cell>
          <cell r="T50">
            <v>1.7929952953476214</v>
          </cell>
        </row>
        <row r="51">
          <cell r="V51" t="str">
            <v>Income Before Extraordinary</v>
          </cell>
        </row>
        <row r="52">
          <cell r="A52" t="str">
            <v>Income Before Extraordinary</v>
          </cell>
          <cell r="K52" t="str">
            <v>Income Before Extraordinary</v>
          </cell>
          <cell r="V52" t="str">
            <v xml:space="preserve">   Item per Share - Diluted</v>
          </cell>
          <cell r="AH52">
            <v>1.9348427575879839</v>
          </cell>
        </row>
        <row r="53">
          <cell r="A53" t="str">
            <v xml:space="preserve">   Item per Share - Diluted</v>
          </cell>
          <cell r="D53" t="e">
            <v>#DIV/0!</v>
          </cell>
          <cell r="K53" t="str">
            <v xml:space="preserve">   Item per Share - Diluted</v>
          </cell>
          <cell r="N53">
            <v>1.5729615702100339</v>
          </cell>
        </row>
        <row r="54">
          <cell r="V54" t="str">
            <v>Average Basic Shares Outstanding</v>
          </cell>
          <cell r="AH54">
            <v>319</v>
          </cell>
        </row>
        <row r="55">
          <cell r="A55" t="str">
            <v>Average Basic Shares Outstanding</v>
          </cell>
          <cell r="K55" t="str">
            <v>Average Basic Shares Outstanding</v>
          </cell>
          <cell r="N55">
            <v>217.3</v>
          </cell>
          <cell r="T55">
            <v>191.3</v>
          </cell>
        </row>
        <row r="56">
          <cell r="V56" t="str">
            <v>Average Diluted Shares Outstanding</v>
          </cell>
          <cell r="AH56">
            <v>321</v>
          </cell>
        </row>
        <row r="57">
          <cell r="A57" t="str">
            <v>Average Diluted Shares Outstanding</v>
          </cell>
          <cell r="K57" t="str">
            <v>Average Diluted Shares Outstanding</v>
          </cell>
          <cell r="N57">
            <v>218.06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row r="1">
          <cell r="I1" t="str">
            <v>Inc/(dec)</v>
          </cell>
          <cell r="J1" t="str">
            <v>Inc/(dec)</v>
          </cell>
          <cell r="L1" t="str">
            <v>Premium/</v>
          </cell>
        </row>
        <row r="2">
          <cell r="C2" t="str">
            <v>Shares</v>
          </cell>
          <cell r="D2" t="str">
            <v>Principal</v>
          </cell>
          <cell r="I2" t="str">
            <v>in Interest</v>
          </cell>
          <cell r="J2" t="str">
            <v>in Div's</v>
          </cell>
          <cell r="L2" t="str">
            <v>Fees</v>
          </cell>
          <cell r="N2" t="str">
            <v>Cash</v>
          </cell>
          <cell r="O2" t="str">
            <v>Interest</v>
          </cell>
        </row>
        <row r="3">
          <cell r="B3" t="str">
            <v>Issue</v>
          </cell>
          <cell r="C3" t="str">
            <v>in millions</v>
          </cell>
          <cell r="D3" t="str">
            <v>in millions</v>
          </cell>
          <cell r="I3" t="str">
            <v>in millions</v>
          </cell>
          <cell r="J3" t="str">
            <v>in millions</v>
          </cell>
          <cell r="L3" t="str">
            <v>in millions</v>
          </cell>
          <cell r="N3" t="str">
            <v>Balance</v>
          </cell>
          <cell r="O3" t="str">
            <v>Income</v>
          </cell>
        </row>
        <row r="4">
          <cell r="B4" t="str">
            <v>Initial Proceeds</v>
          </cell>
          <cell r="D4">
            <v>3400</v>
          </cell>
          <cell r="F4">
            <v>5.5800000000000002E-2</v>
          </cell>
          <cell r="I4">
            <v>189.72</v>
          </cell>
          <cell r="L4">
            <v>-40</v>
          </cell>
          <cell r="N4">
            <v>3360</v>
          </cell>
        </row>
        <row r="5">
          <cell r="I5">
            <v>0</v>
          </cell>
        </row>
        <row r="6">
          <cell r="B6" t="str">
            <v>CP</v>
          </cell>
          <cell r="D6">
            <v>-272</v>
          </cell>
          <cell r="F6">
            <v>5.1999999999999998E-2</v>
          </cell>
          <cell r="I6">
            <v>-14.144</v>
          </cell>
          <cell r="K6" t="str">
            <v>$43 was originally used in the 8-K</v>
          </cell>
          <cell r="N6">
            <v>3088</v>
          </cell>
        </row>
        <row r="7">
          <cell r="A7" t="str">
            <v>6M shares</v>
          </cell>
          <cell r="B7" t="str">
            <v>Common(1)</v>
          </cell>
          <cell r="D7">
            <v>-230</v>
          </cell>
          <cell r="I7">
            <v>0</v>
          </cell>
          <cell r="K7" t="str">
            <v xml:space="preserve">the amount calc's to $66.5.  What </v>
          </cell>
          <cell r="N7">
            <v>2858</v>
          </cell>
        </row>
        <row r="8">
          <cell r="B8" t="str">
            <v>CP</v>
          </cell>
          <cell r="D8">
            <v>-106.4</v>
          </cell>
          <cell r="F8">
            <v>5.6500000000000002E-2</v>
          </cell>
          <cell r="I8">
            <v>-6.0116000000000005</v>
          </cell>
          <cell r="K8" t="str">
            <v>is the difference?</v>
          </cell>
          <cell r="N8">
            <v>2751.6</v>
          </cell>
        </row>
        <row r="9">
          <cell r="B9" t="str">
            <v>CP</v>
          </cell>
          <cell r="D9">
            <v>-47.3</v>
          </cell>
          <cell r="F9">
            <v>6.2199999999999998E-2</v>
          </cell>
          <cell r="I9">
            <v>-2.9420599999999997</v>
          </cell>
          <cell r="N9">
            <v>2704.2999999999997</v>
          </cell>
        </row>
        <row r="10">
          <cell r="B10" t="str">
            <v>Pref</v>
          </cell>
          <cell r="C10">
            <v>11.519894000000001</v>
          </cell>
          <cell r="D10">
            <v>-534.20000000000005</v>
          </cell>
          <cell r="G10">
            <v>5.78</v>
          </cell>
          <cell r="I10">
            <v>0</v>
          </cell>
          <cell r="J10">
            <v>-43</v>
          </cell>
          <cell r="L10">
            <v>-5.9</v>
          </cell>
          <cell r="N10">
            <v>2164.1999999999994</v>
          </cell>
        </row>
        <row r="11">
          <cell r="B11" t="str">
            <v>LTD</v>
          </cell>
          <cell r="D11">
            <v>-730</v>
          </cell>
          <cell r="F11">
            <v>8.2199999999999995E-2</v>
          </cell>
          <cell r="I11">
            <v>-60.005999999999993</v>
          </cell>
          <cell r="L11">
            <v>-18.5</v>
          </cell>
          <cell r="N11">
            <v>1415.6999999999994</v>
          </cell>
        </row>
        <row r="12">
          <cell r="B12" t="str">
            <v>LTD</v>
          </cell>
          <cell r="D12">
            <v>-30.3</v>
          </cell>
          <cell r="F12">
            <v>9.3799999999999994E-2</v>
          </cell>
          <cell r="I12">
            <v>-2.8421400000000001</v>
          </cell>
          <cell r="L12">
            <v>-1.4</v>
          </cell>
          <cell r="N12">
            <v>1383.9999999999993</v>
          </cell>
        </row>
        <row r="13">
          <cell r="A13">
            <v>36187</v>
          </cell>
          <cell r="B13" t="str">
            <v>Common</v>
          </cell>
          <cell r="D13">
            <v>-6.8</v>
          </cell>
          <cell r="I13">
            <v>0</v>
          </cell>
          <cell r="N13">
            <v>1377.1999999999994</v>
          </cell>
        </row>
        <row r="14">
          <cell r="A14" t="str">
            <v>Forward</v>
          </cell>
          <cell r="B14" t="str">
            <v>Common</v>
          </cell>
          <cell r="D14">
            <v>-495</v>
          </cell>
          <cell r="I14">
            <v>0</v>
          </cell>
          <cell r="N14">
            <v>882.19999999999936</v>
          </cell>
        </row>
        <row r="15">
          <cell r="B15" t="str">
            <v>LTD</v>
          </cell>
          <cell r="D15">
            <v>-198.9</v>
          </cell>
          <cell r="F15">
            <v>9.6500000000000002E-2</v>
          </cell>
          <cell r="I15">
            <v>-19.193850000000001</v>
          </cell>
          <cell r="L15">
            <v>-15</v>
          </cell>
          <cell r="N15">
            <v>668.29999999999939</v>
          </cell>
        </row>
        <row r="16">
          <cell r="B16" t="str">
            <v>CP</v>
          </cell>
          <cell r="D16">
            <v>-65</v>
          </cell>
          <cell r="F16">
            <v>6.2E-2</v>
          </cell>
          <cell r="I16">
            <v>-4.03</v>
          </cell>
          <cell r="N16">
            <v>603.29999999999939</v>
          </cell>
        </row>
        <row r="17">
          <cell r="B17" t="str">
            <v>LTD</v>
          </cell>
          <cell r="D17">
            <v>-58</v>
          </cell>
          <cell r="F17">
            <v>7.6300000000000007E-2</v>
          </cell>
          <cell r="I17">
            <v>-4.4254000000000007</v>
          </cell>
          <cell r="L17">
            <v>-0.06</v>
          </cell>
          <cell r="N17">
            <v>545.23999999999944</v>
          </cell>
        </row>
        <row r="18">
          <cell r="B18" t="str">
            <v>CP</v>
          </cell>
          <cell r="D18">
            <v>-9.3000000000000007</v>
          </cell>
          <cell r="F18">
            <v>6.13E-2</v>
          </cell>
          <cell r="I18">
            <v>-0.5700900000000001</v>
          </cell>
          <cell r="N18">
            <v>535.93999999999949</v>
          </cell>
        </row>
        <row r="19">
          <cell r="A19" t="str">
            <v>March</v>
          </cell>
          <cell r="B19" t="str">
            <v>Common</v>
          </cell>
          <cell r="D19">
            <v>-186.90000000000003</v>
          </cell>
          <cell r="I19">
            <v>0</v>
          </cell>
          <cell r="N19">
            <v>349.03999999999945</v>
          </cell>
        </row>
        <row r="20">
          <cell r="B20" t="str">
            <v>LTD</v>
          </cell>
          <cell r="D20">
            <v>-0.1</v>
          </cell>
          <cell r="F20">
            <v>9.4100000000000003E-2</v>
          </cell>
          <cell r="I20">
            <v>-9.4100000000000017E-3</v>
          </cell>
          <cell r="L20">
            <v>-4.0999999999999996</v>
          </cell>
          <cell r="N20">
            <v>344.83999999999941</v>
          </cell>
        </row>
        <row r="21">
          <cell r="B21" t="str">
            <v>Pref</v>
          </cell>
          <cell r="C21">
            <v>3</v>
          </cell>
          <cell r="D21">
            <v>-75</v>
          </cell>
          <cell r="G21">
            <v>2.4300000000000002</v>
          </cell>
          <cell r="I21">
            <v>0</v>
          </cell>
          <cell r="J21">
            <v>-7.2900000000000009</v>
          </cell>
          <cell r="L21">
            <v>-2.2999999999999998</v>
          </cell>
          <cell r="N21">
            <v>267.5399999999994</v>
          </cell>
        </row>
        <row r="22">
          <cell r="N22">
            <v>267.5399999999994</v>
          </cell>
        </row>
        <row r="23">
          <cell r="B23" t="str">
            <v>Seaway Loan</v>
          </cell>
          <cell r="D23">
            <v>-3.6</v>
          </cell>
          <cell r="F23">
            <v>-0.08</v>
          </cell>
          <cell r="I23">
            <v>0.28800000000000003</v>
          </cell>
          <cell r="N23">
            <v>263.93999999999937</v>
          </cell>
        </row>
        <row r="24">
          <cell r="B24" t="str">
            <v>MTN</v>
          </cell>
          <cell r="D24">
            <v>-140</v>
          </cell>
          <cell r="F24">
            <v>9.0423214285714273E-2</v>
          </cell>
          <cell r="I24">
            <v>-12.659249999999998</v>
          </cell>
          <cell r="L24">
            <v>0</v>
          </cell>
          <cell r="N24">
            <v>123.93999999999937</v>
          </cell>
        </row>
        <row r="25">
          <cell r="O25">
            <v>4.4999999999999998E-2</v>
          </cell>
        </row>
        <row r="26">
          <cell r="B26" t="str">
            <v>Balance</v>
          </cell>
          <cell r="D26">
            <v>211.19999999999953</v>
          </cell>
          <cell r="I26">
            <v>63.174200000000013</v>
          </cell>
          <cell r="J26">
            <v>-50.29</v>
          </cell>
          <cell r="L26">
            <v>-87.26</v>
          </cell>
          <cell r="O26">
            <v>5.5772999999999717</v>
          </cell>
        </row>
        <row r="28">
          <cell r="B28" t="str">
            <v>Fees</v>
          </cell>
          <cell r="D28">
            <v>-87.26</v>
          </cell>
        </row>
        <row r="29">
          <cell r="D29">
            <v>123.93999999999953</v>
          </cell>
        </row>
        <row r="31">
          <cell r="B31" t="str">
            <v>Addback items which</v>
          </cell>
        </row>
        <row r="32">
          <cell r="B32" t="str">
            <v xml:space="preserve">have not happen through </v>
          </cell>
        </row>
        <row r="33">
          <cell r="B33" t="str">
            <v>September 30, 1999</v>
          </cell>
        </row>
        <row r="34">
          <cell r="B34" t="str">
            <v>Common(1)</v>
          </cell>
          <cell r="D34">
            <v>230</v>
          </cell>
        </row>
        <row r="35">
          <cell r="B35" t="str">
            <v>MTN</v>
          </cell>
          <cell r="D35">
            <v>140</v>
          </cell>
        </row>
        <row r="36">
          <cell r="D36">
            <v>493.93999999999954</v>
          </cell>
          <cell r="E36" t="str">
            <v>Ana, I believe this should be the $496M we discussed on the phone.</v>
          </cell>
        </row>
        <row r="37">
          <cell r="E37" t="str">
            <v>Do you know what the difference is?</v>
          </cell>
        </row>
        <row r="39">
          <cell r="A39" t="str">
            <v>"(1)  represents estimate of additional shares to be repurchases due to merger other than the $750M.</v>
          </cell>
        </row>
        <row r="43">
          <cell r="A43" t="str">
            <v>PER INFORMATION ABOVE</v>
          </cell>
        </row>
        <row r="44">
          <cell r="A44" t="str">
            <v>Income Statement Impact</v>
          </cell>
          <cell r="D44" t="str">
            <v>Int Exp/Inc</v>
          </cell>
          <cell r="F44" t="str">
            <v>Fees</v>
          </cell>
          <cell r="H44" t="str">
            <v>Total</v>
          </cell>
        </row>
        <row r="45">
          <cell r="A45" t="str">
            <v>Fees and Premiums</v>
          </cell>
          <cell r="F45">
            <v>39.06</v>
          </cell>
          <cell r="H45">
            <v>39.06</v>
          </cell>
        </row>
        <row r="46">
          <cell r="A46" t="str">
            <v>Increased Interest Expense</v>
          </cell>
          <cell r="D46">
            <v>63.174200000000013</v>
          </cell>
          <cell r="H46">
            <v>63.174200000000013</v>
          </cell>
        </row>
        <row r="47">
          <cell r="A47" t="str">
            <v>Increase Interest Income</v>
          </cell>
          <cell r="D47">
            <v>5.5772999999999717</v>
          </cell>
          <cell r="H47">
            <v>5.5772999999999717</v>
          </cell>
        </row>
        <row r="48">
          <cell r="A48" t="str">
            <v>Change to Taxable Income</v>
          </cell>
          <cell r="D48">
            <v>-57.596900000000041</v>
          </cell>
          <cell r="F48">
            <v>-39.06</v>
          </cell>
          <cell r="H48">
            <v>-96.656900000000036</v>
          </cell>
        </row>
        <row r="49">
          <cell r="A49" t="str">
            <v>Change to income taxes(fed)</v>
          </cell>
          <cell r="D49">
            <v>18.742031260000015</v>
          </cell>
          <cell r="E49">
            <v>0.32540000000000002</v>
          </cell>
          <cell r="F49">
            <v>12.710124000000002</v>
          </cell>
          <cell r="H49">
            <v>31.452155260000019</v>
          </cell>
        </row>
        <row r="50">
          <cell r="A50" t="str">
            <v>Change to income taxes(State)</v>
          </cell>
          <cell r="D50">
            <v>4.0433023800000027</v>
          </cell>
          <cell r="E50">
            <v>7.0199999999999999E-2</v>
          </cell>
          <cell r="F50">
            <v>2.7420119999999999</v>
          </cell>
          <cell r="H50">
            <v>6.7853143800000026</v>
          </cell>
        </row>
        <row r="51">
          <cell r="A51" t="str">
            <v>Incr/(decr) to income</v>
          </cell>
          <cell r="D51">
            <v>-34.811566360000029</v>
          </cell>
          <cell r="F51">
            <v>-23.607864000000003</v>
          </cell>
          <cell r="H51">
            <v>-58.419430360000035</v>
          </cell>
        </row>
        <row r="52">
          <cell r="A52" t="str">
            <v>Decrease Pref Div</v>
          </cell>
          <cell r="D52">
            <v>50.29</v>
          </cell>
          <cell r="F52">
            <v>-8.1999999999999993</v>
          </cell>
          <cell r="H52">
            <v>42.09</v>
          </cell>
        </row>
        <row r="53">
          <cell r="A53" t="str">
            <v xml:space="preserve">Incr/(decr) to inc to common </v>
          </cell>
          <cell r="D53">
            <v>15.47843363999997</v>
          </cell>
          <cell r="H53">
            <v>-16.329430360000032</v>
          </cell>
        </row>
        <row r="55">
          <cell r="A55" t="str">
            <v xml:space="preserve">USE FOR PRESENTATION PURPOSES </v>
          </cell>
        </row>
        <row r="56">
          <cell r="A56" t="str">
            <v>Income Statement Impact</v>
          </cell>
          <cell r="D56" t="str">
            <v>Int Exp/Inc</v>
          </cell>
          <cell r="F56" t="str">
            <v>Fees</v>
          </cell>
          <cell r="H56" t="str">
            <v>Total</v>
          </cell>
        </row>
        <row r="57">
          <cell r="A57" t="str">
            <v>Fees and Premiums</v>
          </cell>
          <cell r="F57">
            <v>45.6</v>
          </cell>
          <cell r="G57" t="str">
            <v>(1)</v>
          </cell>
          <cell r="H57">
            <v>45.6</v>
          </cell>
          <cell r="J57" t="str">
            <v>(1)  use per trial balance extraordinary item, for FERc reporting use account 426</v>
          </cell>
        </row>
        <row r="58">
          <cell r="A58" t="str">
            <v>Increased Interest Expense</v>
          </cell>
          <cell r="D58">
            <v>63.174200000000013</v>
          </cell>
          <cell r="H58">
            <v>63.174200000000013</v>
          </cell>
        </row>
        <row r="59">
          <cell r="A59" t="str">
            <v>Increase Interest Income</v>
          </cell>
          <cell r="D59">
            <v>5.5772999999999717</v>
          </cell>
          <cell r="H59">
            <v>5.5772999999999717</v>
          </cell>
          <cell r="J59" t="str">
            <v>Note: the format for FERC Form 1 reporting does not include provision</v>
          </cell>
        </row>
        <row r="60">
          <cell r="A60" t="str">
            <v>Change to Taxable Income</v>
          </cell>
          <cell r="D60">
            <v>-57.596900000000041</v>
          </cell>
          <cell r="F60">
            <v>-45.6</v>
          </cell>
          <cell r="H60">
            <v>-103.19690000000004</v>
          </cell>
          <cell r="J60" t="str">
            <v>for pref dividends.  Any item affecting the provision is not reflected</v>
          </cell>
        </row>
        <row r="61">
          <cell r="A61" t="str">
            <v>Change to income taxes(fed)</v>
          </cell>
          <cell r="D61">
            <v>18.742031260000015</v>
          </cell>
          <cell r="E61">
            <v>0.32540000000000002</v>
          </cell>
          <cell r="F61">
            <v>14.838240000000001</v>
          </cell>
          <cell r="H61">
            <v>33.580271260000018</v>
          </cell>
          <cell r="J61" t="str">
            <v>in the incomestatement for this filing.</v>
          </cell>
        </row>
        <row r="62">
          <cell r="A62" t="str">
            <v>Change to income taxes(State)</v>
          </cell>
          <cell r="D62">
            <v>4.0433023800000027</v>
          </cell>
          <cell r="E62">
            <v>7.0199999999999999E-2</v>
          </cell>
          <cell r="F62">
            <v>3.20112</v>
          </cell>
          <cell r="H62">
            <v>7.2444223800000032</v>
          </cell>
        </row>
        <row r="63">
          <cell r="A63" t="str">
            <v>Incr/(decr) to income</v>
          </cell>
          <cell r="D63">
            <v>-34.811566360000029</v>
          </cell>
          <cell r="F63">
            <v>-27.560640000000003</v>
          </cell>
          <cell r="H63">
            <v>-62.372206360000035</v>
          </cell>
        </row>
        <row r="64">
          <cell r="A64" t="str">
            <v>Decrease Pref Div</v>
          </cell>
          <cell r="D64">
            <v>50.29</v>
          </cell>
          <cell r="F64">
            <v>-12.3</v>
          </cell>
          <cell r="G64" t="str">
            <v>(2)</v>
          </cell>
          <cell r="H64">
            <v>37.989999999999995</v>
          </cell>
          <cell r="J64" t="str">
            <v>(2)  per Trial balance account 216051</v>
          </cell>
        </row>
        <row r="65">
          <cell r="A65" t="str">
            <v xml:space="preserve">Incr/(decr) to inc to common </v>
          </cell>
          <cell r="D65">
            <v>15.47843363999997</v>
          </cell>
          <cell r="H65">
            <v>-24.38220636000004</v>
          </cell>
        </row>
        <row r="68">
          <cell r="D68" t="str">
            <v>Total from above</v>
          </cell>
          <cell r="H68" t="str">
            <v>Actually Used in 1998</v>
          </cell>
          <cell r="L68" t="str">
            <v>Proceeds used after 1998</v>
          </cell>
          <cell r="O68" t="str">
            <v>Use these #'s for presentation purposes</v>
          </cell>
        </row>
        <row r="69">
          <cell r="C69" t="str">
            <v>Principal</v>
          </cell>
          <cell r="D69" t="str">
            <v>Fees</v>
          </cell>
          <cell r="E69" t="str">
            <v>Total</v>
          </cell>
          <cell r="G69" t="str">
            <v>Principal</v>
          </cell>
          <cell r="H69" t="str">
            <v>Fees</v>
          </cell>
          <cell r="I69" t="str">
            <v>Total</v>
          </cell>
          <cell r="K69" t="str">
            <v>Principal</v>
          </cell>
          <cell r="L69" t="str">
            <v>Fees</v>
          </cell>
          <cell r="M69" t="str">
            <v>Total</v>
          </cell>
          <cell r="O69" t="str">
            <v>Principal</v>
          </cell>
          <cell r="Q69" t="str">
            <v>Fees</v>
          </cell>
          <cell r="R69" t="str">
            <v>Total</v>
          </cell>
        </row>
        <row r="70">
          <cell r="A70" t="str">
            <v>CP</v>
          </cell>
          <cell r="C70">
            <v>-500</v>
          </cell>
          <cell r="D70">
            <v>0</v>
          </cell>
          <cell r="E70">
            <v>-500</v>
          </cell>
          <cell r="G70">
            <v>-332</v>
          </cell>
          <cell r="I70">
            <v>-332</v>
          </cell>
          <cell r="K70">
            <v>-168</v>
          </cell>
          <cell r="L70">
            <v>0</v>
          </cell>
          <cell r="M70">
            <v>-168</v>
          </cell>
          <cell r="O70">
            <v>-168</v>
          </cell>
          <cell r="Q70">
            <v>0</v>
          </cell>
          <cell r="R70">
            <v>-168</v>
          </cell>
        </row>
        <row r="71">
          <cell r="A71" t="str">
            <v>Common</v>
          </cell>
          <cell r="C71">
            <v>-918.7</v>
          </cell>
          <cell r="D71">
            <v>0</v>
          </cell>
          <cell r="E71">
            <v>-918.7</v>
          </cell>
          <cell r="G71">
            <v>0</v>
          </cell>
          <cell r="H71">
            <v>0</v>
          </cell>
          <cell r="I71">
            <v>0</v>
          </cell>
          <cell r="K71">
            <v>-918.7</v>
          </cell>
          <cell r="L71">
            <v>0</v>
          </cell>
          <cell r="M71">
            <v>-918.7</v>
          </cell>
          <cell r="O71">
            <v>-1020.973024</v>
          </cell>
          <cell r="P71" t="str">
            <v xml:space="preserve">(3)  </v>
          </cell>
          <cell r="Q71">
            <v>0</v>
          </cell>
          <cell r="R71">
            <v>-1021</v>
          </cell>
        </row>
        <row r="72">
          <cell r="A72" t="str">
            <v>LTD</v>
          </cell>
          <cell r="C72">
            <v>-1160.9000000000001</v>
          </cell>
          <cell r="D72">
            <v>-39.06</v>
          </cell>
          <cell r="E72">
            <v>-1199.96</v>
          </cell>
          <cell r="G72">
            <v>0</v>
          </cell>
          <cell r="I72">
            <v>0</v>
          </cell>
          <cell r="K72">
            <v>-1160.9000000000001</v>
          </cell>
          <cell r="L72">
            <v>-39.06</v>
          </cell>
          <cell r="M72">
            <v>-1199.96</v>
          </cell>
          <cell r="O72">
            <v>-1160.9000000000001</v>
          </cell>
          <cell r="Q72">
            <v>-45.6</v>
          </cell>
          <cell r="R72">
            <v>-1206.5</v>
          </cell>
        </row>
        <row r="73">
          <cell r="A73" t="str">
            <v>Pref</v>
          </cell>
          <cell r="C73">
            <v>-609.20000000000005</v>
          </cell>
          <cell r="D73">
            <v>-8.1999999999999993</v>
          </cell>
          <cell r="E73">
            <v>-617.40000000000009</v>
          </cell>
          <cell r="G73">
            <v>0</v>
          </cell>
          <cell r="H73">
            <v>0</v>
          </cell>
          <cell r="I73">
            <v>0</v>
          </cell>
          <cell r="K73">
            <v>-609.20000000000005</v>
          </cell>
          <cell r="L73">
            <v>-8.1999999999999993</v>
          </cell>
          <cell r="M73">
            <v>-617.40000000000009</v>
          </cell>
          <cell r="O73">
            <v>-609.20000000000005</v>
          </cell>
          <cell r="Q73">
            <v>12.3</v>
          </cell>
          <cell r="R73">
            <v>-596.9</v>
          </cell>
        </row>
        <row r="74">
          <cell r="C74">
            <v>-3188.8</v>
          </cell>
          <cell r="D74">
            <v>-47.260000000000005</v>
          </cell>
          <cell r="E74">
            <v>-3236.06</v>
          </cell>
          <cell r="G74">
            <v>-332</v>
          </cell>
          <cell r="H74">
            <v>0</v>
          </cell>
          <cell r="I74">
            <v>-332</v>
          </cell>
          <cell r="K74">
            <v>-2856.8</v>
          </cell>
          <cell r="L74">
            <v>-47.260000000000005</v>
          </cell>
          <cell r="M74">
            <v>-2904.06</v>
          </cell>
          <cell r="O74">
            <v>-2959.0730240000003</v>
          </cell>
          <cell r="Q74">
            <v>-33.299999999999997</v>
          </cell>
          <cell r="R74">
            <v>-2992.4</v>
          </cell>
        </row>
        <row r="75">
          <cell r="A75" t="str">
            <v>Other uses</v>
          </cell>
        </row>
        <row r="76">
          <cell r="A76" t="str">
            <v>Initail Fees</v>
          </cell>
          <cell r="E76">
            <v>-40</v>
          </cell>
          <cell r="I76">
            <v>-40</v>
          </cell>
          <cell r="M76">
            <v>0</v>
          </cell>
          <cell r="O76">
            <v>0</v>
          </cell>
          <cell r="R76">
            <v>0</v>
          </cell>
        </row>
        <row r="77">
          <cell r="E77">
            <v>-3276.06</v>
          </cell>
          <cell r="I77">
            <v>-372</v>
          </cell>
          <cell r="M77">
            <v>-2904.06</v>
          </cell>
          <cell r="O77">
            <v>-2959.0730240000003</v>
          </cell>
          <cell r="R77">
            <v>-2992.4</v>
          </cell>
        </row>
        <row r="78">
          <cell r="A78" t="str">
            <v>Initail Proceeds</v>
          </cell>
          <cell r="E78">
            <v>3400</v>
          </cell>
        </row>
        <row r="79">
          <cell r="A79" t="str">
            <v>Remaining proceeds</v>
          </cell>
          <cell r="E79">
            <v>123.94000000000005</v>
          </cell>
        </row>
        <row r="81">
          <cell r="O81" t="str">
            <v>(3)    See UCM Share Repurchase tab.    This is</v>
          </cell>
        </row>
        <row r="82">
          <cell r="A82" t="str">
            <v>F:\STAFF\jdm\KMH\Merge\FERC Filing\[FERC stmts2.XLS]TFI use</v>
          </cell>
          <cell r="O82" t="str">
            <v xml:space="preserve">         the same amount that was use in the 8-K </v>
          </cell>
        </row>
        <row r="83">
          <cell r="O83" t="str">
            <v xml:space="preserve">          filing for the merger.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Req"/>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Attachment H-7"/>
      <sheetName val="1-Project Rev Req"/>
      <sheetName val="2-Incentive ROE"/>
      <sheetName val="3-Project True-up"/>
      <sheetName val="4- Rate Base"/>
      <sheetName val="4A - ADIT Summary"/>
      <sheetName val="4B - ADIT BOY"/>
      <sheetName val="4C - ADIT EOY"/>
      <sheetName val="4D - Intangible Pnt"/>
      <sheetName val="4E COA"/>
      <sheetName val="5-P3 Support"/>
      <sheetName val="5A - Revenue Credits"/>
      <sheetName val="5B - A&amp;G"/>
      <sheetName val="5C - Other Taxes"/>
      <sheetName val="6-True-Up Interest"/>
      <sheetName val="7 - PBOP"/>
      <sheetName val="8 - Depreciation Rates"/>
      <sheetName val="9 - EDIT"/>
      <sheetName val="9A - ADIT Remeasurement"/>
      <sheetName val="10 - Pension Asset Discount"/>
      <sheetName val="11 - Cost of Capital"/>
    </sheetNames>
    <sheetDataSet>
      <sheetData sheetId="0"/>
      <sheetData sheetId="1">
        <row r="22">
          <cell r="I22">
            <v>169882992.42793986</v>
          </cell>
        </row>
      </sheetData>
      <sheetData sheetId="2">
        <row r="67">
          <cell r="Q67">
            <v>4571032.8300099894</v>
          </cell>
          <cell r="S67">
            <v>-18122.705424795193</v>
          </cell>
        </row>
        <row r="68">
          <cell r="Q68">
            <v>2285516.4150049947</v>
          </cell>
          <cell r="S68">
            <v>-9061.3527123975964</v>
          </cell>
        </row>
        <row r="69">
          <cell r="Q69">
            <v>670046.24574823526</v>
          </cell>
          <cell r="S69">
            <v>-2656.5223187554002</v>
          </cell>
        </row>
        <row r="70">
          <cell r="Q70">
            <v>223348.74858274512</v>
          </cell>
          <cell r="S70">
            <v>-885.50743958513351</v>
          </cell>
        </row>
        <row r="71">
          <cell r="Q71">
            <v>433093.89435068856</v>
          </cell>
          <cell r="S71">
            <v>-1717.0808787601175</v>
          </cell>
        </row>
        <row r="72">
          <cell r="Q72">
            <v>584090.89060792932</v>
          </cell>
          <cell r="S72">
            <v>-2315.7364091324289</v>
          </cell>
        </row>
        <row r="73">
          <cell r="Q73">
            <v>1931372.3790142071</v>
          </cell>
          <cell r="S73">
            <v>-7657.2831550597011</v>
          </cell>
        </row>
        <row r="74">
          <cell r="Q74">
            <v>4382802.6467111623</v>
          </cell>
          <cell r="S74">
            <v>-17376.432035204947</v>
          </cell>
        </row>
        <row r="75">
          <cell r="Q75">
            <v>2554838.0609095255</v>
          </cell>
          <cell r="S75">
            <v>-10129.128209699842</v>
          </cell>
        </row>
        <row r="76">
          <cell r="Q76">
            <v>2401559.5132871578</v>
          </cell>
          <cell r="S76">
            <v>-9521.4270467890201</v>
          </cell>
        </row>
        <row r="77">
          <cell r="Q77">
            <v>2478135.3418012322</v>
          </cell>
          <cell r="S77">
            <v>-9825.0260876248685</v>
          </cell>
        </row>
        <row r="78">
          <cell r="Q78">
            <v>1594260.3930542315</v>
          </cell>
          <cell r="S78">
            <v>-6320.7403114794297</v>
          </cell>
        </row>
        <row r="79">
          <cell r="Q79">
            <v>1135669.807014484</v>
          </cell>
          <cell r="S79">
            <v>-4502.5730809097076</v>
          </cell>
        </row>
        <row r="80">
          <cell r="Q80">
            <v>241317.80281313791</v>
          </cell>
          <cell r="S80">
            <v>-956.74907986424455</v>
          </cell>
        </row>
        <row r="81">
          <cell r="Q81">
            <v>301018.31097264198</v>
          </cell>
          <cell r="S81">
            <v>-1193.442790743348</v>
          </cell>
        </row>
        <row r="82">
          <cell r="Q82">
            <v>337195.48148017237</v>
          </cell>
          <cell r="S82">
            <v>-1336.8738770191226</v>
          </cell>
        </row>
        <row r="83">
          <cell r="Q83">
            <v>330415.5516934453</v>
          </cell>
          <cell r="S83">
            <v>-1309.9935909010769</v>
          </cell>
        </row>
        <row r="84">
          <cell r="Q84">
            <v>453435.34662314411</v>
          </cell>
          <cell r="S84">
            <v>-1797.7283300376523</v>
          </cell>
        </row>
        <row r="85">
          <cell r="Q85">
            <v>610350.60993149399</v>
          </cell>
          <cell r="S85">
            <v>-2419.8479251807012</v>
          </cell>
        </row>
        <row r="86">
          <cell r="Q86">
            <v>345601.97684466001</v>
          </cell>
          <cell r="S86">
            <v>-1370.2029833307881</v>
          </cell>
        </row>
        <row r="87">
          <cell r="Q87">
            <v>287335.8099853188</v>
          </cell>
          <cell r="S87">
            <v>-1139.1959839298459</v>
          </cell>
        </row>
        <row r="88">
          <cell r="Q88">
            <v>282868.12704968418</v>
          </cell>
          <cell r="S88">
            <v>-1121.4830282839521</v>
          </cell>
        </row>
        <row r="89">
          <cell r="Q89">
            <v>729604.10538926069</v>
          </cell>
          <cell r="S89">
            <v>-2892.6504731889886</v>
          </cell>
        </row>
        <row r="90">
          <cell r="Q90">
            <v>547355.14334538672</v>
          </cell>
          <cell r="S90">
            <v>-2170.0907419589266</v>
          </cell>
        </row>
        <row r="91">
          <cell r="Q91">
            <v>2030904.0478982569</v>
          </cell>
          <cell r="S91">
            <v>-8051.8948725213641</v>
          </cell>
        </row>
        <row r="92">
          <cell r="Q92">
            <v>155414.2200597623</v>
          </cell>
          <cell r="S92">
            <v>-616.16843144861264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
  <sheetViews>
    <sheetView tabSelected="1" view="pageBreakPreview" zoomScaleNormal="100" zoomScaleSheetLayoutView="100" workbookViewId="0">
      <selection activeCell="I9" sqref="I9"/>
    </sheetView>
  </sheetViews>
  <sheetFormatPr defaultColWidth="8.84375" defaultRowHeight="15.5"/>
  <cols>
    <col min="1" max="2" width="8.84375" style="16" customWidth="1"/>
    <col min="3" max="4" width="8.84375" style="16"/>
    <col min="5" max="5" width="14.07421875" style="16" customWidth="1"/>
    <col min="6" max="7" width="8.84375" style="16" customWidth="1"/>
    <col min="8" max="8" width="8.921875" style="16" customWidth="1"/>
    <col min="9" max="16384" width="8.84375" style="16"/>
  </cols>
  <sheetData>
    <row r="1" spans="1:4" ht="20">
      <c r="A1" s="15"/>
    </row>
    <row r="2" spans="1:4" ht="20">
      <c r="A2" s="15"/>
    </row>
    <row r="4" spans="1:4">
      <c r="D4" s="17" t="s">
        <v>1118</v>
      </c>
    </row>
    <row r="5" spans="1:4">
      <c r="D5" s="17" t="s">
        <v>1119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107"/>
  <sheetViews>
    <sheetView view="pageBreakPreview" topLeftCell="C61" zoomScale="85" zoomScaleNormal="60" zoomScaleSheetLayoutView="85" workbookViewId="0">
      <selection activeCell="V38" sqref="V38"/>
    </sheetView>
  </sheetViews>
  <sheetFormatPr defaultColWidth="8.84375" defaultRowHeight="14"/>
  <cols>
    <col min="1" max="1" width="4.84375" style="529" customWidth="1"/>
    <col min="2" max="2" width="45.69140625" style="529" customWidth="1"/>
    <col min="3" max="3" width="17.69140625" style="529" bestFit="1" customWidth="1"/>
    <col min="4" max="5" width="11.07421875" style="529" customWidth="1"/>
    <col min="6" max="6" width="15.07421875" style="529" customWidth="1"/>
    <col min="7" max="15" width="11.07421875" style="529" bestFit="1" customWidth="1"/>
    <col min="16" max="16" width="12.07421875" style="529" customWidth="1"/>
    <col min="17" max="17" width="10.4609375" style="529" bestFit="1" customWidth="1"/>
    <col min="18" max="18" width="11.07421875" style="529" bestFit="1" customWidth="1"/>
    <col min="19" max="19" width="13.4609375" style="529" bestFit="1" customWidth="1"/>
    <col min="20" max="20" width="12" style="529" bestFit="1" customWidth="1"/>
    <col min="21" max="16384" width="8.84375" style="529"/>
  </cols>
  <sheetData>
    <row r="1" spans="1:20">
      <c r="B1" s="1136" t="str">
        <f>+'Attachment H-7'!D177</f>
        <v>PECO Energy Company</v>
      </c>
      <c r="C1" s="1136"/>
      <c r="D1" s="1136"/>
      <c r="E1" s="1136"/>
      <c r="F1" s="1136"/>
      <c r="G1" s="1136"/>
    </row>
    <row r="2" spans="1:20">
      <c r="B2" s="1138"/>
      <c r="C2" s="1138"/>
      <c r="D2" s="1138"/>
      <c r="E2" s="1138"/>
      <c r="F2" s="1138"/>
      <c r="G2" s="1138"/>
      <c r="H2" s="1138"/>
      <c r="T2" s="529" t="s">
        <v>422</v>
      </c>
    </row>
    <row r="3" spans="1:20">
      <c r="B3" s="1137" t="s">
        <v>652</v>
      </c>
      <c r="C3" s="1137"/>
      <c r="D3" s="1137"/>
      <c r="E3" s="1137"/>
      <c r="F3" s="1137"/>
      <c r="G3" s="1137"/>
    </row>
    <row r="5" spans="1:20">
      <c r="B5" s="530" t="s">
        <v>684</v>
      </c>
      <c r="C5" s="530"/>
      <c r="D5" s="530"/>
      <c r="E5" s="530"/>
      <c r="F5" s="530"/>
      <c r="G5" s="530"/>
    </row>
    <row r="6" spans="1:20">
      <c r="B6" s="368" t="s">
        <v>198</v>
      </c>
      <c r="C6" s="368" t="s">
        <v>199</v>
      </c>
      <c r="D6" s="368" t="s">
        <v>200</v>
      </c>
      <c r="E6" s="368" t="s">
        <v>201</v>
      </c>
      <c r="F6" s="368" t="s">
        <v>203</v>
      </c>
      <c r="G6" s="368" t="s">
        <v>202</v>
      </c>
      <c r="H6" s="368" t="s">
        <v>204</v>
      </c>
      <c r="I6" s="368" t="s">
        <v>205</v>
      </c>
      <c r="J6" s="368" t="s">
        <v>206</v>
      </c>
      <c r="K6" s="368" t="s">
        <v>244</v>
      </c>
      <c r="L6" s="368" t="s">
        <v>248</v>
      </c>
      <c r="M6" s="368" t="s">
        <v>453</v>
      </c>
      <c r="N6" s="368" t="s">
        <v>779</v>
      </c>
      <c r="O6" s="368" t="s">
        <v>780</v>
      </c>
      <c r="P6" s="368" t="s">
        <v>781</v>
      </c>
      <c r="Q6" s="368" t="s">
        <v>782</v>
      </c>
      <c r="R6" s="368" t="s">
        <v>783</v>
      </c>
      <c r="S6" s="368" t="s">
        <v>784</v>
      </c>
      <c r="T6" s="368" t="s">
        <v>787</v>
      </c>
    </row>
    <row r="7" spans="1:20">
      <c r="B7" s="376" t="s">
        <v>775</v>
      </c>
      <c r="C7" s="531" t="s">
        <v>195</v>
      </c>
      <c r="D7" s="368" t="s">
        <v>84</v>
      </c>
      <c r="E7" s="368" t="s">
        <v>83</v>
      </c>
      <c r="F7" s="368" t="s">
        <v>82</v>
      </c>
      <c r="G7" s="368" t="s">
        <v>74</v>
      </c>
      <c r="H7" s="368" t="s">
        <v>73</v>
      </c>
      <c r="I7" s="368" t="s">
        <v>93</v>
      </c>
      <c r="J7" s="368" t="s">
        <v>81</v>
      </c>
      <c r="K7" s="368" t="s">
        <v>80</v>
      </c>
      <c r="L7" s="368" t="s">
        <v>79</v>
      </c>
      <c r="M7" s="368" t="s">
        <v>85</v>
      </c>
      <c r="N7" s="368" t="s">
        <v>78</v>
      </c>
      <c r="O7" s="368" t="s">
        <v>77</v>
      </c>
      <c r="P7" s="368" t="s">
        <v>481</v>
      </c>
      <c r="Q7" s="529" t="s">
        <v>17</v>
      </c>
      <c r="R7" s="529" t="s">
        <v>778</v>
      </c>
      <c r="S7" s="529" t="s">
        <v>685</v>
      </c>
      <c r="T7" s="532" t="s">
        <v>13</v>
      </c>
    </row>
    <row r="8" spans="1:20">
      <c r="B8" s="376"/>
      <c r="C8" s="531"/>
      <c r="D8" s="368"/>
      <c r="E8" s="368"/>
      <c r="F8" s="368"/>
      <c r="G8" s="368"/>
      <c r="H8" s="368"/>
      <c r="I8" s="368"/>
      <c r="J8" s="368"/>
      <c r="K8" s="368"/>
      <c r="L8" s="368"/>
      <c r="M8" s="368"/>
      <c r="N8" s="368"/>
      <c r="O8" s="368"/>
      <c r="P8" s="533" t="s">
        <v>788</v>
      </c>
      <c r="T8" s="534" t="s">
        <v>1097</v>
      </c>
    </row>
    <row r="9" spans="1:20">
      <c r="A9" s="535">
        <v>1</v>
      </c>
      <c r="B9" s="950" t="s">
        <v>1451</v>
      </c>
      <c r="C9" s="951">
        <v>24625172.300000001</v>
      </c>
      <c r="D9" s="951">
        <v>31027688.004597608</v>
      </c>
      <c r="E9" s="951">
        <v>32071338.984597608</v>
      </c>
      <c r="F9" s="951">
        <v>36127339.67410972</v>
      </c>
      <c r="G9" s="951">
        <v>37125877.67410972</v>
      </c>
      <c r="H9" s="951">
        <v>38256977.67410972</v>
      </c>
      <c r="I9" s="951">
        <v>39088314.67410972</v>
      </c>
      <c r="J9" s="951">
        <v>39421969.67410972</v>
      </c>
      <c r="K9" s="951">
        <v>39893744.67410972</v>
      </c>
      <c r="L9" s="951">
        <v>40896201.495898493</v>
      </c>
      <c r="M9" s="951">
        <v>41629147.495898493</v>
      </c>
      <c r="N9" s="951">
        <v>42852952.495898493</v>
      </c>
      <c r="O9" s="951">
        <v>40784923.67716971</v>
      </c>
      <c r="P9" s="536">
        <f>AVERAGE(C9:O9)</f>
        <v>37215511.422978364</v>
      </c>
      <c r="Q9" s="536"/>
      <c r="R9" s="536"/>
      <c r="S9" s="536">
        <f>P9</f>
        <v>37215511.422978364</v>
      </c>
      <c r="T9" s="536">
        <f>SUM(Q9:S9)</f>
        <v>37215511.422978364</v>
      </c>
    </row>
    <row r="10" spans="1:20">
      <c r="A10" s="535">
        <f>A9+1</f>
        <v>2</v>
      </c>
      <c r="B10" s="950" t="s">
        <v>776</v>
      </c>
      <c r="C10" s="951">
        <v>10967791.289999999</v>
      </c>
      <c r="D10" s="951">
        <v>10967791.289999999</v>
      </c>
      <c r="E10" s="951">
        <v>10967791.289999999</v>
      </c>
      <c r="F10" s="951">
        <v>10967791.289999999</v>
      </c>
      <c r="G10" s="951">
        <v>10967791.289999999</v>
      </c>
      <c r="H10" s="951">
        <v>10967791.289999999</v>
      </c>
      <c r="I10" s="951">
        <v>10967791.289999999</v>
      </c>
      <c r="J10" s="951">
        <v>10967791.289999999</v>
      </c>
      <c r="K10" s="951">
        <v>10967791.289999999</v>
      </c>
      <c r="L10" s="951">
        <v>10967791.289999999</v>
      </c>
      <c r="M10" s="951">
        <v>10967791.289999999</v>
      </c>
      <c r="N10" s="951">
        <v>10967791.289999999</v>
      </c>
      <c r="O10" s="951">
        <v>10967791.289999999</v>
      </c>
      <c r="P10" s="536">
        <f t="shared" ref="P10:P15" si="0">AVERAGE(C10:O10)</f>
        <v>10967791.289999995</v>
      </c>
      <c r="Q10" s="536">
        <f>P10</f>
        <v>10967791.289999995</v>
      </c>
      <c r="R10" s="536"/>
      <c r="S10" s="536"/>
      <c r="T10" s="536">
        <f t="shared" ref="T10:T27" si="1">SUM(Q10:S10)</f>
        <v>10967791.289999995</v>
      </c>
    </row>
    <row r="11" spans="1:20">
      <c r="A11" s="535">
        <f t="shared" ref="A11:A29" si="2">A10+1</f>
        <v>3</v>
      </c>
      <c r="B11" s="950" t="s">
        <v>777</v>
      </c>
      <c r="C11" s="951">
        <v>1486430.4100000001</v>
      </c>
      <c r="D11" s="951">
        <v>1486430.4100000001</v>
      </c>
      <c r="E11" s="951">
        <v>1486430.4100000001</v>
      </c>
      <c r="F11" s="951">
        <v>1486430.4100000001</v>
      </c>
      <c r="G11" s="951">
        <v>1486430.4100000001</v>
      </c>
      <c r="H11" s="951">
        <v>1486430.4100000001</v>
      </c>
      <c r="I11" s="951">
        <v>1486430.4100000001</v>
      </c>
      <c r="J11" s="951">
        <v>1486430.4100000001</v>
      </c>
      <c r="K11" s="951">
        <v>1486430.4100000001</v>
      </c>
      <c r="L11" s="951">
        <v>1486430.4100000001</v>
      </c>
      <c r="M11" s="951">
        <v>1486430.4100000001</v>
      </c>
      <c r="N11" s="951">
        <v>1486430.4100000001</v>
      </c>
      <c r="O11" s="951">
        <v>1486430.4100000001</v>
      </c>
      <c r="P11" s="536">
        <f t="shared" si="0"/>
        <v>1486430.4100000001</v>
      </c>
      <c r="Q11" s="536"/>
      <c r="R11" s="536">
        <f>P11</f>
        <v>1486430.4100000001</v>
      </c>
      <c r="S11" s="536"/>
      <c r="T11" s="536">
        <f t="shared" si="1"/>
        <v>1486430.4100000001</v>
      </c>
    </row>
    <row r="12" spans="1:20">
      <c r="A12" s="535">
        <f t="shared" si="2"/>
        <v>4</v>
      </c>
      <c r="B12" s="950" t="s">
        <v>789</v>
      </c>
      <c r="C12" s="951">
        <v>2231384.04</v>
      </c>
      <c r="D12" s="951">
        <v>2231384.04</v>
      </c>
      <c r="E12" s="951">
        <v>2231384.04</v>
      </c>
      <c r="F12" s="951">
        <v>2231384.04</v>
      </c>
      <c r="G12" s="951">
        <v>2231384.04</v>
      </c>
      <c r="H12" s="951">
        <v>2231384.04</v>
      </c>
      <c r="I12" s="951">
        <v>2231384.04</v>
      </c>
      <c r="J12" s="951">
        <v>2231384.04</v>
      </c>
      <c r="K12" s="951">
        <v>2231384.04</v>
      </c>
      <c r="L12" s="951">
        <v>2231384.04</v>
      </c>
      <c r="M12" s="951">
        <v>2231384.04</v>
      </c>
      <c r="N12" s="951">
        <v>2231384.04</v>
      </c>
      <c r="O12" s="951">
        <v>2231384.04</v>
      </c>
      <c r="P12" s="536">
        <f t="shared" si="0"/>
        <v>2231384.0399999996</v>
      </c>
      <c r="Q12" s="536"/>
      <c r="R12" s="536">
        <f>P12</f>
        <v>2231384.0399999996</v>
      </c>
      <c r="S12" s="536"/>
      <c r="T12" s="536">
        <f t="shared" si="1"/>
        <v>2231384.0399999996</v>
      </c>
    </row>
    <row r="13" spans="1:20">
      <c r="A13" s="535">
        <f t="shared" si="2"/>
        <v>5</v>
      </c>
      <c r="B13" s="950" t="s">
        <v>1482</v>
      </c>
      <c r="C13" s="951">
        <v>29349767.219866797</v>
      </c>
      <c r="D13" s="951">
        <v>29349767.219866797</v>
      </c>
      <c r="E13" s="951">
        <v>29349767.219866797</v>
      </c>
      <c r="F13" s="951">
        <v>29349767.219866797</v>
      </c>
      <c r="G13" s="951">
        <v>29349767.219866797</v>
      </c>
      <c r="H13" s="951">
        <v>29349767.219866797</v>
      </c>
      <c r="I13" s="951">
        <v>29349767.219866797</v>
      </c>
      <c r="J13" s="951">
        <v>29349767.219866797</v>
      </c>
      <c r="K13" s="951">
        <v>29349767.219866797</v>
      </c>
      <c r="L13" s="951">
        <v>29349767.219866797</v>
      </c>
      <c r="M13" s="951">
        <v>45541377.219866797</v>
      </c>
      <c r="N13" s="951">
        <v>45541377.219866797</v>
      </c>
      <c r="O13" s="951">
        <v>45541377.219866797</v>
      </c>
      <c r="P13" s="536">
        <f t="shared" si="0"/>
        <v>33086292.604482193</v>
      </c>
      <c r="Q13" s="536"/>
      <c r="R13" s="536">
        <f>P13</f>
        <v>33086292.604482193</v>
      </c>
      <c r="S13" s="536"/>
      <c r="T13" s="536">
        <f t="shared" si="1"/>
        <v>33086292.604482193</v>
      </c>
    </row>
    <row r="14" spans="1:20">
      <c r="A14" s="535">
        <f t="shared" si="2"/>
        <v>6</v>
      </c>
      <c r="B14" s="952" t="s">
        <v>817</v>
      </c>
      <c r="C14" s="951">
        <v>40500859.939999998</v>
      </c>
      <c r="D14" s="951">
        <v>40500859.939999998</v>
      </c>
      <c r="E14" s="951">
        <v>40500859.939999998</v>
      </c>
      <c r="F14" s="951">
        <v>40500859.939999998</v>
      </c>
      <c r="G14" s="951">
        <v>40500859.939999998</v>
      </c>
      <c r="H14" s="951">
        <v>40500859.939999998</v>
      </c>
      <c r="I14" s="951">
        <v>40500859.939999998</v>
      </c>
      <c r="J14" s="951">
        <v>40500859.939999998</v>
      </c>
      <c r="K14" s="951">
        <v>40500859.939999998</v>
      </c>
      <c r="L14" s="951">
        <v>40500859.939999998</v>
      </c>
      <c r="M14" s="951">
        <v>40500859.939999998</v>
      </c>
      <c r="N14" s="951">
        <v>40500859.939999998</v>
      </c>
      <c r="O14" s="951">
        <v>40500859.939999998</v>
      </c>
      <c r="P14" s="536">
        <f t="shared" si="0"/>
        <v>40500859.939999998</v>
      </c>
      <c r="Q14" s="536"/>
      <c r="R14" s="536">
        <f>P14</f>
        <v>40500859.939999998</v>
      </c>
      <c r="S14" s="536"/>
      <c r="T14" s="536">
        <f t="shared" si="1"/>
        <v>40500859.939999998</v>
      </c>
    </row>
    <row r="15" spans="1:20">
      <c r="A15" s="535">
        <f t="shared" si="2"/>
        <v>7</v>
      </c>
      <c r="B15" s="950" t="s">
        <v>790</v>
      </c>
      <c r="C15" s="951">
        <v>87461108.460000008</v>
      </c>
      <c r="D15" s="951">
        <v>87461108.460000008</v>
      </c>
      <c r="E15" s="951">
        <v>87461108.460000008</v>
      </c>
      <c r="F15" s="951">
        <v>87461108.460000008</v>
      </c>
      <c r="G15" s="951">
        <v>87461108.460000008</v>
      </c>
      <c r="H15" s="951">
        <v>87461108.460000008</v>
      </c>
      <c r="I15" s="951">
        <v>87461108.460000008</v>
      </c>
      <c r="J15" s="951">
        <v>87461108.460000008</v>
      </c>
      <c r="K15" s="951">
        <v>87461108.460000008</v>
      </c>
      <c r="L15" s="951">
        <v>87461108.460000008</v>
      </c>
      <c r="M15" s="951">
        <v>87461108.460000008</v>
      </c>
      <c r="N15" s="951">
        <v>87461108.460000008</v>
      </c>
      <c r="O15" s="951">
        <v>87461108.460000008</v>
      </c>
      <c r="P15" s="536">
        <f t="shared" si="0"/>
        <v>87461108.460000023</v>
      </c>
      <c r="Q15" s="536"/>
      <c r="R15" s="536">
        <f>P15</f>
        <v>87461108.460000023</v>
      </c>
      <c r="S15" s="536"/>
      <c r="T15" s="536">
        <f t="shared" si="1"/>
        <v>87461108.460000023</v>
      </c>
    </row>
    <row r="16" spans="1:20">
      <c r="A16" s="535">
        <f t="shared" si="2"/>
        <v>8</v>
      </c>
      <c r="B16" s="950" t="s">
        <v>1483</v>
      </c>
      <c r="C16" s="951">
        <v>28097430.030000001</v>
      </c>
      <c r="D16" s="951">
        <v>28097430.030000001</v>
      </c>
      <c r="E16" s="951">
        <v>28097430.030000001</v>
      </c>
      <c r="F16" s="951">
        <v>28097430.030000001</v>
      </c>
      <c r="G16" s="951">
        <v>28097430.030000001</v>
      </c>
      <c r="H16" s="951">
        <v>28097430.030000001</v>
      </c>
      <c r="I16" s="951">
        <v>28097430.030000001</v>
      </c>
      <c r="J16" s="951">
        <v>28097430.030000001</v>
      </c>
      <c r="K16" s="951">
        <v>28097430.030000001</v>
      </c>
      <c r="L16" s="951">
        <v>28097430.030000001</v>
      </c>
      <c r="M16" s="951">
        <v>28097430.030000001</v>
      </c>
      <c r="N16" s="951">
        <v>28097430.030000001</v>
      </c>
      <c r="O16" s="951">
        <v>28097430.030000001</v>
      </c>
      <c r="P16" s="536">
        <f t="shared" ref="P16:P17" si="3">AVERAGE(C16:O16)</f>
        <v>28097430.029999997</v>
      </c>
      <c r="Q16" s="536">
        <f>P16</f>
        <v>28097430.029999997</v>
      </c>
      <c r="R16" s="536"/>
      <c r="S16" s="536"/>
      <c r="T16" s="536">
        <f t="shared" ref="T16" si="4">SUM(Q16:S16)</f>
        <v>28097430.029999997</v>
      </c>
    </row>
    <row r="17" spans="1:20">
      <c r="A17" s="535">
        <f t="shared" si="2"/>
        <v>9</v>
      </c>
      <c r="B17" s="950" t="s">
        <v>1551</v>
      </c>
      <c r="C17" s="951">
        <v>1193292.3201332004</v>
      </c>
      <c r="D17" s="951">
        <v>1193292.3201332004</v>
      </c>
      <c r="E17" s="951">
        <v>1193292.3201332004</v>
      </c>
      <c r="F17" s="951">
        <v>1193292.3201332004</v>
      </c>
      <c r="G17" s="951">
        <v>1193292.3201332004</v>
      </c>
      <c r="H17" s="951">
        <v>1193292.3201332004</v>
      </c>
      <c r="I17" s="951">
        <v>1193292.3201332004</v>
      </c>
      <c r="J17" s="951">
        <v>1193292.3201332004</v>
      </c>
      <c r="K17" s="951">
        <v>1193292.3201332004</v>
      </c>
      <c r="L17" s="951">
        <v>1193292.3201332004</v>
      </c>
      <c r="M17" s="951">
        <v>1193292.3201332004</v>
      </c>
      <c r="N17" s="951">
        <v>1193292.3201332004</v>
      </c>
      <c r="O17" s="951">
        <v>1193292.3201332004</v>
      </c>
      <c r="P17" s="536">
        <f t="shared" si="3"/>
        <v>1193292.3201332001</v>
      </c>
      <c r="Q17" s="536">
        <f>P17</f>
        <v>1193292.3201332001</v>
      </c>
      <c r="R17" s="536"/>
      <c r="S17" s="536"/>
      <c r="T17" s="536">
        <f t="shared" si="1"/>
        <v>1193292.3201332001</v>
      </c>
    </row>
    <row r="18" spans="1:20">
      <c r="A18" s="535">
        <f t="shared" si="2"/>
        <v>10</v>
      </c>
      <c r="B18" s="953"/>
      <c r="C18" s="953"/>
      <c r="D18" s="953"/>
      <c r="E18" s="953"/>
      <c r="F18" s="953"/>
      <c r="G18" s="953"/>
      <c r="H18" s="953"/>
      <c r="I18" s="954"/>
      <c r="J18" s="954"/>
      <c r="K18" s="954"/>
      <c r="L18" s="954"/>
      <c r="M18" s="954"/>
      <c r="N18" s="954"/>
      <c r="O18" s="954"/>
      <c r="P18" s="536"/>
      <c r="Q18" s="536"/>
      <c r="R18" s="536"/>
      <c r="S18" s="536"/>
      <c r="T18" s="536">
        <f t="shared" si="1"/>
        <v>0</v>
      </c>
    </row>
    <row r="19" spans="1:20">
      <c r="A19" s="535">
        <f t="shared" si="2"/>
        <v>11</v>
      </c>
      <c r="B19" s="953"/>
      <c r="C19" s="953"/>
      <c r="D19" s="953"/>
      <c r="E19" s="953"/>
      <c r="F19" s="953"/>
      <c r="G19" s="953"/>
      <c r="H19" s="953"/>
      <c r="I19" s="954"/>
      <c r="J19" s="954"/>
      <c r="K19" s="954"/>
      <c r="L19" s="954"/>
      <c r="M19" s="954"/>
      <c r="N19" s="954"/>
      <c r="O19" s="954"/>
      <c r="P19" s="536"/>
      <c r="Q19" s="536"/>
      <c r="R19" s="536"/>
      <c r="S19" s="536"/>
      <c r="T19" s="536">
        <f t="shared" si="1"/>
        <v>0</v>
      </c>
    </row>
    <row r="20" spans="1:20">
      <c r="A20" s="535">
        <f t="shared" si="2"/>
        <v>12</v>
      </c>
      <c r="B20" s="953"/>
      <c r="C20" s="953"/>
      <c r="D20" s="953"/>
      <c r="E20" s="953"/>
      <c r="F20" s="953"/>
      <c r="G20" s="953"/>
      <c r="H20" s="953"/>
      <c r="I20" s="954"/>
      <c r="J20" s="954"/>
      <c r="K20" s="954"/>
      <c r="L20" s="954"/>
      <c r="M20" s="954"/>
      <c r="N20" s="954"/>
      <c r="O20" s="954"/>
      <c r="P20" s="536"/>
      <c r="Q20" s="536"/>
      <c r="R20" s="536"/>
      <c r="S20" s="536"/>
      <c r="T20" s="536">
        <f t="shared" si="1"/>
        <v>0</v>
      </c>
    </row>
    <row r="21" spans="1:20">
      <c r="A21" s="535">
        <f t="shared" si="2"/>
        <v>13</v>
      </c>
      <c r="B21" s="953"/>
      <c r="C21" s="953"/>
      <c r="D21" s="953"/>
      <c r="E21" s="953"/>
      <c r="F21" s="953"/>
      <c r="G21" s="953"/>
      <c r="H21" s="953"/>
      <c r="I21" s="954"/>
      <c r="J21" s="954"/>
      <c r="K21" s="954"/>
      <c r="L21" s="954"/>
      <c r="M21" s="954"/>
      <c r="N21" s="954"/>
      <c r="O21" s="954"/>
      <c r="P21" s="536"/>
      <c r="Q21" s="536"/>
      <c r="R21" s="536"/>
      <c r="S21" s="536"/>
      <c r="T21" s="536">
        <f t="shared" si="1"/>
        <v>0</v>
      </c>
    </row>
    <row r="22" spans="1:20">
      <c r="A22" s="535">
        <f t="shared" si="2"/>
        <v>14</v>
      </c>
      <c r="B22" s="954"/>
      <c r="C22" s="954"/>
      <c r="D22" s="954"/>
      <c r="E22" s="954"/>
      <c r="F22" s="954"/>
      <c r="G22" s="954"/>
      <c r="H22" s="954"/>
      <c r="I22" s="954"/>
      <c r="J22" s="954"/>
      <c r="K22" s="954"/>
      <c r="L22" s="954"/>
      <c r="M22" s="954"/>
      <c r="N22" s="954"/>
      <c r="O22" s="954"/>
      <c r="Q22" s="536"/>
      <c r="R22" s="536"/>
      <c r="S22" s="536"/>
      <c r="T22" s="536">
        <f t="shared" si="1"/>
        <v>0</v>
      </c>
    </row>
    <row r="23" spans="1:20">
      <c r="A23" s="535">
        <f t="shared" si="2"/>
        <v>15</v>
      </c>
      <c r="B23" s="953"/>
      <c r="C23" s="953"/>
      <c r="D23" s="953"/>
      <c r="E23" s="953"/>
      <c r="F23" s="953"/>
      <c r="G23" s="953"/>
      <c r="H23" s="953"/>
      <c r="I23" s="954"/>
      <c r="J23" s="954"/>
      <c r="K23" s="954"/>
      <c r="L23" s="954"/>
      <c r="M23" s="954"/>
      <c r="N23" s="954"/>
      <c r="O23" s="954"/>
      <c r="Q23" s="536"/>
      <c r="R23" s="536"/>
      <c r="S23" s="536"/>
      <c r="T23" s="536">
        <f t="shared" si="1"/>
        <v>0</v>
      </c>
    </row>
    <row r="24" spans="1:20">
      <c r="A24" s="535">
        <f t="shared" si="2"/>
        <v>16</v>
      </c>
      <c r="B24" s="954"/>
      <c r="C24" s="954"/>
      <c r="D24" s="954"/>
      <c r="E24" s="954"/>
      <c r="F24" s="954"/>
      <c r="G24" s="954"/>
      <c r="H24" s="954"/>
      <c r="I24" s="954"/>
      <c r="J24" s="954"/>
      <c r="K24" s="954"/>
      <c r="L24" s="954"/>
      <c r="M24" s="954"/>
      <c r="N24" s="954"/>
      <c r="O24" s="954"/>
      <c r="Q24" s="536"/>
      <c r="R24" s="536"/>
      <c r="S24" s="536"/>
      <c r="T24" s="536">
        <f t="shared" si="1"/>
        <v>0</v>
      </c>
    </row>
    <row r="25" spans="1:20">
      <c r="A25" s="535">
        <f t="shared" si="2"/>
        <v>17</v>
      </c>
      <c r="B25" s="954"/>
      <c r="C25" s="954"/>
      <c r="D25" s="954"/>
      <c r="E25" s="954"/>
      <c r="F25" s="954"/>
      <c r="G25" s="954"/>
      <c r="H25" s="954"/>
      <c r="I25" s="954"/>
      <c r="J25" s="954"/>
      <c r="K25" s="954"/>
      <c r="L25" s="954"/>
      <c r="M25" s="954"/>
      <c r="N25" s="954"/>
      <c r="O25" s="954"/>
      <c r="Q25" s="536"/>
      <c r="R25" s="536"/>
      <c r="S25" s="536"/>
      <c r="T25" s="536">
        <f t="shared" si="1"/>
        <v>0</v>
      </c>
    </row>
    <row r="26" spans="1:20">
      <c r="A26" s="535">
        <f t="shared" si="2"/>
        <v>18</v>
      </c>
      <c r="B26" s="954"/>
      <c r="C26" s="954"/>
      <c r="D26" s="954"/>
      <c r="E26" s="954"/>
      <c r="F26" s="954"/>
      <c r="G26" s="954"/>
      <c r="H26" s="954"/>
      <c r="I26" s="954"/>
      <c r="J26" s="954"/>
      <c r="K26" s="954"/>
      <c r="L26" s="954"/>
      <c r="M26" s="954"/>
      <c r="N26" s="954"/>
      <c r="O26" s="954"/>
      <c r="Q26" s="536"/>
      <c r="R26" s="536"/>
      <c r="S26" s="536"/>
      <c r="T26" s="536">
        <f t="shared" si="1"/>
        <v>0</v>
      </c>
    </row>
    <row r="27" spans="1:20">
      <c r="A27" s="535">
        <f t="shared" si="2"/>
        <v>19</v>
      </c>
      <c r="B27" s="368" t="s">
        <v>13</v>
      </c>
      <c r="C27" s="536">
        <f>SUM(C9:C26)</f>
        <v>225913236.01000002</v>
      </c>
      <c r="D27" s="536">
        <f t="shared" ref="D27:O27" si="5">SUM(D9:D26)</f>
        <v>232315751.71459761</v>
      </c>
      <c r="E27" s="536">
        <f t="shared" si="5"/>
        <v>233359402.69459763</v>
      </c>
      <c r="F27" s="536">
        <f t="shared" si="5"/>
        <v>237415403.38410974</v>
      </c>
      <c r="G27" s="536">
        <f t="shared" si="5"/>
        <v>238413941.38410974</v>
      </c>
      <c r="H27" s="536">
        <f t="shared" si="5"/>
        <v>239545041.38410974</v>
      </c>
      <c r="I27" s="536">
        <f t="shared" si="5"/>
        <v>240376378.38410974</v>
      </c>
      <c r="J27" s="536">
        <f t="shared" si="5"/>
        <v>240710033.38410974</v>
      </c>
      <c r="K27" s="536">
        <f t="shared" si="5"/>
        <v>241181808.38410974</v>
      </c>
      <c r="L27" s="536">
        <f t="shared" si="5"/>
        <v>242184265.20589849</v>
      </c>
      <c r="M27" s="536">
        <f t="shared" si="5"/>
        <v>259108821.20589849</v>
      </c>
      <c r="N27" s="536">
        <f>SUM(N9:N26)</f>
        <v>260332626.20589849</v>
      </c>
      <c r="O27" s="536">
        <f t="shared" si="5"/>
        <v>258264597.38716972</v>
      </c>
      <c r="P27" s="536">
        <f>AVERAGE(C27:O27)</f>
        <v>242240100.51759371</v>
      </c>
      <c r="Q27" s="536">
        <f>SUM(Q9:Q26)</f>
        <v>40258513.640133195</v>
      </c>
      <c r="R27" s="536">
        <f>SUM(R9:R26)</f>
        <v>164766075.4544822</v>
      </c>
      <c r="S27" s="536">
        <f>SUM(S9:S26)</f>
        <v>37215511.422978364</v>
      </c>
      <c r="T27" s="536">
        <f t="shared" si="1"/>
        <v>242240100.51759377</v>
      </c>
    </row>
    <row r="28" spans="1:20">
      <c r="A28" s="535">
        <f t="shared" si="2"/>
        <v>20</v>
      </c>
      <c r="B28" s="368"/>
      <c r="C28" s="536"/>
      <c r="D28" s="536"/>
      <c r="E28" s="536"/>
      <c r="F28" s="536"/>
      <c r="G28" s="536"/>
      <c r="H28" s="536"/>
      <c r="I28" s="536"/>
      <c r="J28" s="536"/>
      <c r="K28" s="536"/>
      <c r="L28" s="536"/>
      <c r="M28" s="536"/>
      <c r="N28" s="536"/>
      <c r="O28" s="536"/>
      <c r="P28" s="537" t="s">
        <v>698</v>
      </c>
      <c r="Q28" s="538">
        <v>1</v>
      </c>
      <c r="R28" s="538">
        <v>0</v>
      </c>
      <c r="S28" s="538">
        <f>'Attachment H-7'!I197</f>
        <v>9.9526966285675506E-2</v>
      </c>
      <c r="T28" s="536"/>
    </row>
    <row r="29" spans="1:20">
      <c r="A29" s="535">
        <f t="shared" si="2"/>
        <v>21</v>
      </c>
      <c r="B29" s="368"/>
      <c r="C29" s="536"/>
      <c r="D29" s="536"/>
      <c r="E29" s="536"/>
      <c r="F29" s="536"/>
      <c r="G29" s="536"/>
      <c r="H29" s="536"/>
      <c r="I29" s="536"/>
      <c r="J29" s="536"/>
      <c r="K29" s="536"/>
      <c r="L29" s="536"/>
      <c r="M29" s="536"/>
      <c r="N29" s="536"/>
      <c r="O29" s="536"/>
      <c r="P29" s="537" t="s">
        <v>786</v>
      </c>
      <c r="Q29" s="536">
        <f>Q27*Q28</f>
        <v>40258513.640133195</v>
      </c>
      <c r="R29" s="536">
        <f t="shared" ref="R29:S29" si="6">R27*R28</f>
        <v>0</v>
      </c>
      <c r="S29" s="536">
        <f t="shared" si="6"/>
        <v>3703946.9506989392</v>
      </c>
      <c r="T29" s="536">
        <f>SUM(Q29:S29)</f>
        <v>43962460.590832137</v>
      </c>
    </row>
    <row r="30" spans="1:20">
      <c r="A30" s="535"/>
    </row>
    <row r="31" spans="1:20">
      <c r="B31" s="368" t="s">
        <v>198</v>
      </c>
      <c r="C31" s="368" t="s">
        <v>199</v>
      </c>
      <c r="D31" s="368" t="s">
        <v>200</v>
      </c>
      <c r="E31" s="368" t="s">
        <v>201</v>
      </c>
      <c r="F31" s="368" t="s">
        <v>203</v>
      </c>
      <c r="G31" s="368" t="s">
        <v>202</v>
      </c>
      <c r="H31" s="368" t="s">
        <v>204</v>
      </c>
      <c r="I31" s="368" t="s">
        <v>205</v>
      </c>
      <c r="J31" s="368" t="s">
        <v>206</v>
      </c>
      <c r="K31" s="368" t="s">
        <v>244</v>
      </c>
      <c r="L31" s="368" t="s">
        <v>248</v>
      </c>
      <c r="M31" s="368" t="s">
        <v>453</v>
      </c>
      <c r="N31" s="368" t="s">
        <v>779</v>
      </c>
      <c r="O31" s="368" t="s">
        <v>780</v>
      </c>
      <c r="P31" s="368" t="s">
        <v>781</v>
      </c>
      <c r="Q31" s="368" t="s">
        <v>782</v>
      </c>
      <c r="R31" s="368" t="s">
        <v>783</v>
      </c>
      <c r="S31" s="368" t="s">
        <v>784</v>
      </c>
      <c r="T31" s="368" t="s">
        <v>787</v>
      </c>
    </row>
    <row r="32" spans="1:20">
      <c r="B32" s="376" t="s">
        <v>208</v>
      </c>
      <c r="C32" s="531" t="s">
        <v>195</v>
      </c>
      <c r="D32" s="368" t="s">
        <v>84</v>
      </c>
      <c r="E32" s="368" t="s">
        <v>83</v>
      </c>
      <c r="F32" s="368" t="s">
        <v>82</v>
      </c>
      <c r="G32" s="368" t="s">
        <v>74</v>
      </c>
      <c r="H32" s="368" t="s">
        <v>73</v>
      </c>
      <c r="I32" s="368" t="s">
        <v>93</v>
      </c>
      <c r="J32" s="368" t="s">
        <v>81</v>
      </c>
      <c r="K32" s="368" t="s">
        <v>80</v>
      </c>
      <c r="L32" s="368" t="s">
        <v>79</v>
      </c>
      <c r="M32" s="368" t="s">
        <v>85</v>
      </c>
      <c r="N32" s="368" t="s">
        <v>78</v>
      </c>
      <c r="O32" s="368" t="s">
        <v>77</v>
      </c>
      <c r="P32" s="368" t="s">
        <v>481</v>
      </c>
      <c r="Q32" s="529" t="s">
        <v>17</v>
      </c>
      <c r="R32" s="529" t="s">
        <v>778</v>
      </c>
      <c r="S32" s="529" t="s">
        <v>685</v>
      </c>
      <c r="T32" s="532" t="s">
        <v>13</v>
      </c>
    </row>
    <row r="33" spans="1:20">
      <c r="B33" s="376"/>
      <c r="C33" s="531"/>
      <c r="D33" s="368"/>
      <c r="E33" s="368"/>
      <c r="F33" s="368"/>
      <c r="G33" s="368"/>
      <c r="H33" s="368"/>
      <c r="I33" s="368"/>
      <c r="J33" s="368"/>
      <c r="K33" s="368"/>
      <c r="L33" s="368"/>
      <c r="M33" s="368"/>
      <c r="N33" s="368"/>
      <c r="O33" s="368"/>
      <c r="P33" s="533" t="s">
        <v>788</v>
      </c>
      <c r="T33" s="534" t="s">
        <v>1097</v>
      </c>
    </row>
    <row r="34" spans="1:20">
      <c r="A34" s="535">
        <f>A29+1</f>
        <v>22</v>
      </c>
      <c r="B34" s="950" t="s">
        <v>1451</v>
      </c>
      <c r="C34" s="951">
        <v>15901195.329999998</v>
      </c>
      <c r="D34" s="951">
        <v>16628444.619886667</v>
      </c>
      <c r="E34" s="951">
        <v>17417745.30881165</v>
      </c>
      <c r="F34" s="951">
        <v>18242660.324236631</v>
      </c>
      <c r="G34" s="951">
        <v>19102813.744661614</v>
      </c>
      <c r="H34" s="951">
        <v>19980714.128419928</v>
      </c>
      <c r="I34" s="951">
        <v>20874968.173844911</v>
      </c>
      <c r="J34" s="951">
        <v>21778930.46593656</v>
      </c>
      <c r="K34" s="951">
        <v>22689604.704694875</v>
      </c>
      <c r="L34" s="951">
        <v>23612564.178634763</v>
      </c>
      <c r="M34" s="951">
        <v>24549985.372756224</v>
      </c>
      <c r="N34" s="951">
        <v>25503712.785211019</v>
      </c>
      <c r="O34" s="951">
        <v>26446997.959176406</v>
      </c>
      <c r="P34" s="536">
        <f>AVERAGE(C34:O34)</f>
        <v>20979256.699713171</v>
      </c>
      <c r="Q34" s="536"/>
      <c r="R34" s="536"/>
      <c r="S34" s="536">
        <f>P34</f>
        <v>20979256.699713171</v>
      </c>
      <c r="T34" s="536">
        <f>SUM(Q34:S34)</f>
        <v>20979256.699713171</v>
      </c>
    </row>
    <row r="35" spans="1:20">
      <c r="A35" s="535">
        <f>A34+1</f>
        <v>23</v>
      </c>
      <c r="B35" s="950" t="s">
        <v>776</v>
      </c>
      <c r="C35" s="951">
        <v>10870344.389999999</v>
      </c>
      <c r="D35" s="951">
        <v>10877734.689999999</v>
      </c>
      <c r="E35" s="951">
        <v>10885124.969999999</v>
      </c>
      <c r="F35" s="951">
        <v>10892246.169999998</v>
      </c>
      <c r="G35" s="951">
        <v>10899098.259999998</v>
      </c>
      <c r="H35" s="951">
        <v>10905950.359999998</v>
      </c>
      <c r="I35" s="951">
        <v>10912802.449999997</v>
      </c>
      <c r="J35" s="951">
        <v>10919654.549999997</v>
      </c>
      <c r="K35" s="951">
        <v>10926506.639999997</v>
      </c>
      <c r="L35" s="951">
        <v>10933358.739999996</v>
      </c>
      <c r="M35" s="951">
        <v>10940210.829999996</v>
      </c>
      <c r="N35" s="951">
        <v>10945874.419999996</v>
      </c>
      <c r="O35" s="951">
        <v>10950349.479999997</v>
      </c>
      <c r="P35" s="536">
        <f t="shared" ref="P35:P39" si="7">AVERAGE(C35:O35)</f>
        <v>10912250.457692306</v>
      </c>
      <c r="Q35" s="536">
        <f>P35</f>
        <v>10912250.457692306</v>
      </c>
      <c r="R35" s="536"/>
      <c r="S35" s="536"/>
      <c r="T35" s="536">
        <f t="shared" ref="T35:T52" si="8">SUM(Q35:S35)</f>
        <v>10912250.457692306</v>
      </c>
    </row>
    <row r="36" spans="1:20">
      <c r="A36" s="535">
        <f t="shared" ref="A36:A54" si="9">A35+1</f>
        <v>24</v>
      </c>
      <c r="B36" s="950" t="s">
        <v>777</v>
      </c>
      <c r="C36" s="951">
        <v>1472142.49</v>
      </c>
      <c r="D36" s="951">
        <v>1473291.38</v>
      </c>
      <c r="E36" s="951">
        <v>1474440.2799999998</v>
      </c>
      <c r="F36" s="951">
        <v>1475560.4599999997</v>
      </c>
      <c r="G36" s="951">
        <v>1476651.9499999997</v>
      </c>
      <c r="H36" s="951">
        <v>1477743.4299999997</v>
      </c>
      <c r="I36" s="951">
        <v>1478834.9199999997</v>
      </c>
      <c r="J36" s="951">
        <v>1479926.3999999997</v>
      </c>
      <c r="K36" s="951">
        <v>1481017.8899999997</v>
      </c>
      <c r="L36" s="951">
        <v>1482109.3699999996</v>
      </c>
      <c r="M36" s="951">
        <v>1483200.8599999996</v>
      </c>
      <c r="N36" s="951">
        <v>1483995.2099999997</v>
      </c>
      <c r="O36" s="951">
        <v>1484492.4499999997</v>
      </c>
      <c r="P36" s="536">
        <f t="shared" si="7"/>
        <v>1478723.622307692</v>
      </c>
      <c r="Q36" s="536"/>
      <c r="R36" s="536">
        <f>P36</f>
        <v>1478723.622307692</v>
      </c>
      <c r="S36" s="536"/>
      <c r="T36" s="536">
        <f t="shared" si="8"/>
        <v>1478723.622307692</v>
      </c>
    </row>
    <row r="37" spans="1:20">
      <c r="A37" s="535">
        <f t="shared" si="9"/>
        <v>25</v>
      </c>
      <c r="B37" s="950" t="s">
        <v>789</v>
      </c>
      <c r="C37" s="951">
        <v>2231384.04</v>
      </c>
      <c r="D37" s="951">
        <v>2231384.04</v>
      </c>
      <c r="E37" s="951">
        <v>2231384.04</v>
      </c>
      <c r="F37" s="951">
        <v>2231384.04</v>
      </c>
      <c r="G37" s="951">
        <v>2231384.04</v>
      </c>
      <c r="H37" s="951">
        <v>2231384.04</v>
      </c>
      <c r="I37" s="951">
        <v>2231384.04</v>
      </c>
      <c r="J37" s="951">
        <v>2231384.04</v>
      </c>
      <c r="K37" s="951">
        <v>2231384.04</v>
      </c>
      <c r="L37" s="951">
        <v>2231384.04</v>
      </c>
      <c r="M37" s="951">
        <v>2231384.04</v>
      </c>
      <c r="N37" s="951">
        <v>2231384.04</v>
      </c>
      <c r="O37" s="951">
        <v>2231384.04</v>
      </c>
      <c r="P37" s="536">
        <f t="shared" si="7"/>
        <v>2231384.0399999996</v>
      </c>
      <c r="Q37" s="536"/>
      <c r="R37" s="536">
        <f>P37</f>
        <v>2231384.0399999996</v>
      </c>
      <c r="S37" s="536"/>
      <c r="T37" s="536">
        <f t="shared" si="8"/>
        <v>2231384.0399999996</v>
      </c>
    </row>
    <row r="38" spans="1:20">
      <c r="A38" s="535">
        <f t="shared" si="9"/>
        <v>26</v>
      </c>
      <c r="B38" s="950" t="s">
        <v>1482</v>
      </c>
      <c r="C38" s="951">
        <v>15631591.280235371</v>
      </c>
      <c r="D38" s="951">
        <v>15804314.334120424</v>
      </c>
      <c r="E38" s="951">
        <v>15977037.388005478</v>
      </c>
      <c r="F38" s="951">
        <v>16149760.441890532</v>
      </c>
      <c r="G38" s="951">
        <v>16322483.495775586</v>
      </c>
      <c r="H38" s="951">
        <v>16495206.54966064</v>
      </c>
      <c r="I38" s="951">
        <v>16667929.603545694</v>
      </c>
      <c r="J38" s="951">
        <v>16840652.657430746</v>
      </c>
      <c r="K38" s="951">
        <v>17013375.7113158</v>
      </c>
      <c r="L38" s="951">
        <v>17186098.765200853</v>
      </c>
      <c r="M38" s="951">
        <v>17455229.363627572</v>
      </c>
      <c r="N38" s="951">
        <v>17820767.506595958</v>
      </c>
      <c r="O38" s="951">
        <v>18186305.649564344</v>
      </c>
      <c r="P38" s="536">
        <f t="shared" si="7"/>
        <v>16734673.288228389</v>
      </c>
      <c r="Q38" s="536"/>
      <c r="R38" s="536">
        <f>P38</f>
        <v>16734673.288228389</v>
      </c>
      <c r="S38" s="536"/>
      <c r="T38" s="536">
        <f t="shared" si="8"/>
        <v>16734673.288228389</v>
      </c>
    </row>
    <row r="39" spans="1:20">
      <c r="A39" s="535">
        <f t="shared" si="9"/>
        <v>27</v>
      </c>
      <c r="B39" s="950" t="s">
        <v>817</v>
      </c>
      <c r="C39" s="951">
        <v>28456691.500000004</v>
      </c>
      <c r="D39" s="951">
        <v>28658000.705555558</v>
      </c>
      <c r="E39" s="951">
        <v>28859309.911111113</v>
      </c>
      <c r="F39" s="951">
        <v>29060619.116666667</v>
      </c>
      <c r="G39" s="951">
        <v>29261928.322222222</v>
      </c>
      <c r="H39" s="951">
        <v>29463237.527777776</v>
      </c>
      <c r="I39" s="951">
        <v>29664546.723333333</v>
      </c>
      <c r="J39" s="951">
        <v>29865855.928888887</v>
      </c>
      <c r="K39" s="951">
        <v>30067165.124444444</v>
      </c>
      <c r="L39" s="951">
        <v>30268474.329999998</v>
      </c>
      <c r="M39" s="951">
        <v>30469783.525555555</v>
      </c>
      <c r="N39" s="951">
        <v>30671092.731111109</v>
      </c>
      <c r="O39" s="951">
        <v>30872401.926666666</v>
      </c>
      <c r="P39" s="536">
        <f t="shared" si="7"/>
        <v>29664546.721025646</v>
      </c>
      <c r="Q39" s="536"/>
      <c r="R39" s="536">
        <f>P39</f>
        <v>29664546.721025646</v>
      </c>
      <c r="S39" s="536"/>
      <c r="T39" s="536">
        <f t="shared" si="8"/>
        <v>29664546.721025646</v>
      </c>
    </row>
    <row r="40" spans="1:20">
      <c r="A40" s="535">
        <f t="shared" si="9"/>
        <v>28</v>
      </c>
      <c r="B40" s="950" t="s">
        <v>790</v>
      </c>
      <c r="C40" s="951">
        <v>78803635.359999999</v>
      </c>
      <c r="D40" s="951">
        <v>78892819.354545459</v>
      </c>
      <c r="E40" s="951">
        <v>78977721.329090908</v>
      </c>
      <c r="F40" s="951">
        <v>79066064.694009334</v>
      </c>
      <c r="G40" s="951">
        <v>79157849.429300725</v>
      </c>
      <c r="H40" s="951">
        <v>79249634.174592108</v>
      </c>
      <c r="I40" s="951">
        <v>79341418.909883499</v>
      </c>
      <c r="J40" s="951">
        <v>79433203.655174881</v>
      </c>
      <c r="K40" s="951">
        <v>79524988.390466273</v>
      </c>
      <c r="L40" s="951">
        <v>79597778.095757663</v>
      </c>
      <c r="M40" s="951">
        <v>79651572.761049047</v>
      </c>
      <c r="N40" s="951">
        <v>79705367.426340431</v>
      </c>
      <c r="O40" s="951">
        <v>79743848.237086371</v>
      </c>
      <c r="P40" s="536">
        <f t="shared" ref="P40:P41" si="10">AVERAGE(C40:O40)</f>
        <v>79318915.524407446</v>
      </c>
      <c r="Q40" s="536"/>
      <c r="R40" s="536">
        <f>P40</f>
        <v>79318915.524407446</v>
      </c>
      <c r="S40" s="536"/>
      <c r="T40" s="536">
        <f t="shared" si="8"/>
        <v>79318915.524407446</v>
      </c>
    </row>
    <row r="41" spans="1:20">
      <c r="A41" s="535">
        <f t="shared" si="9"/>
        <v>29</v>
      </c>
      <c r="B41" s="950" t="s">
        <v>1483</v>
      </c>
      <c r="C41" s="951">
        <v>10993304.359999999</v>
      </c>
      <c r="D41" s="951">
        <v>11089487.610000001</v>
      </c>
      <c r="E41" s="951">
        <v>11185670.860000001</v>
      </c>
      <c r="F41" s="951">
        <v>11281854.110000001</v>
      </c>
      <c r="G41" s="951">
        <v>11378037.360000001</v>
      </c>
      <c r="H41" s="951">
        <v>11474220.610000001</v>
      </c>
      <c r="I41" s="951">
        <v>11570403.860000001</v>
      </c>
      <c r="J41" s="951">
        <v>11666587.110000001</v>
      </c>
      <c r="K41" s="951">
        <v>11762770.360000001</v>
      </c>
      <c r="L41" s="951">
        <v>11858953.610000001</v>
      </c>
      <c r="M41" s="951">
        <v>11955136.870000001</v>
      </c>
      <c r="N41" s="951">
        <v>12051320.120000001</v>
      </c>
      <c r="O41" s="951">
        <v>12147503.390000001</v>
      </c>
      <c r="P41" s="536">
        <f t="shared" si="10"/>
        <v>11570403.863846155</v>
      </c>
      <c r="Q41" s="536">
        <f>P41</f>
        <v>11570403.863846155</v>
      </c>
      <c r="R41" s="536"/>
      <c r="S41" s="536"/>
      <c r="T41" s="536">
        <f t="shared" si="8"/>
        <v>11570403.863846155</v>
      </c>
    </row>
    <row r="42" spans="1:20">
      <c r="A42" s="535">
        <f t="shared" si="9"/>
        <v>30</v>
      </c>
      <c r="B42" s="950" t="s">
        <v>1551</v>
      </c>
      <c r="C42" s="951">
        <v>374683.02976462914</v>
      </c>
      <c r="D42" s="951">
        <v>388719.05908635521</v>
      </c>
      <c r="E42" s="951">
        <v>402755.08840808127</v>
      </c>
      <c r="F42" s="951">
        <v>416791.11772980733</v>
      </c>
      <c r="G42" s="951">
        <v>430827.14705153339</v>
      </c>
      <c r="H42" s="951">
        <v>444863.17637325946</v>
      </c>
      <c r="I42" s="951">
        <v>458899.20569498552</v>
      </c>
      <c r="J42" s="951">
        <v>472935.23501671158</v>
      </c>
      <c r="K42" s="951">
        <v>486971.26433843764</v>
      </c>
      <c r="L42" s="951">
        <v>501007.2936601637</v>
      </c>
      <c r="M42" s="951">
        <v>515043.32298188977</v>
      </c>
      <c r="N42" s="951">
        <v>529079.35230361589</v>
      </c>
      <c r="O42" s="951">
        <v>543115.38162534195</v>
      </c>
      <c r="P42" s="536">
        <f t="shared" ref="P42" si="11">AVERAGE(C42:O42)</f>
        <v>458899.20569498552</v>
      </c>
      <c r="Q42" s="536">
        <f>P42</f>
        <v>458899.20569498552</v>
      </c>
      <c r="R42" s="536"/>
      <c r="S42" s="536"/>
      <c r="T42" s="536">
        <f t="shared" si="8"/>
        <v>458899.20569498552</v>
      </c>
    </row>
    <row r="43" spans="1:20">
      <c r="A43" s="535">
        <f t="shared" si="9"/>
        <v>31</v>
      </c>
      <c r="B43" s="953"/>
      <c r="C43" s="953"/>
      <c r="D43" s="953"/>
      <c r="E43" s="953"/>
      <c r="F43" s="953"/>
      <c r="G43" s="953"/>
      <c r="H43" s="953"/>
      <c r="I43" s="954"/>
      <c r="J43" s="954"/>
      <c r="K43" s="954"/>
      <c r="L43" s="954"/>
      <c r="M43" s="954"/>
      <c r="N43" s="954"/>
      <c r="O43" s="954"/>
      <c r="P43" s="536"/>
      <c r="Q43" s="536"/>
      <c r="R43" s="536"/>
      <c r="S43" s="536"/>
      <c r="T43" s="536">
        <f t="shared" si="8"/>
        <v>0</v>
      </c>
    </row>
    <row r="44" spans="1:20">
      <c r="A44" s="535">
        <f t="shared" si="9"/>
        <v>32</v>
      </c>
      <c r="B44" s="953"/>
      <c r="C44" s="953"/>
      <c r="D44" s="953"/>
      <c r="E44" s="953"/>
      <c r="F44" s="953"/>
      <c r="G44" s="953"/>
      <c r="H44" s="953"/>
      <c r="I44" s="954"/>
      <c r="J44" s="954"/>
      <c r="K44" s="954"/>
      <c r="L44" s="954"/>
      <c r="M44" s="954"/>
      <c r="N44" s="954"/>
      <c r="O44" s="954"/>
      <c r="P44" s="536"/>
      <c r="Q44" s="536"/>
      <c r="R44" s="536"/>
      <c r="S44" s="536"/>
      <c r="T44" s="536">
        <f t="shared" si="8"/>
        <v>0</v>
      </c>
    </row>
    <row r="45" spans="1:20">
      <c r="A45" s="535">
        <f t="shared" si="9"/>
        <v>33</v>
      </c>
      <c r="B45" s="953"/>
      <c r="C45" s="953"/>
      <c r="D45" s="953"/>
      <c r="E45" s="953"/>
      <c r="F45" s="953"/>
      <c r="G45" s="953"/>
      <c r="H45" s="953"/>
      <c r="I45" s="954"/>
      <c r="J45" s="954"/>
      <c r="K45" s="954"/>
      <c r="L45" s="954"/>
      <c r="M45" s="954"/>
      <c r="N45" s="954"/>
      <c r="O45" s="954"/>
      <c r="P45" s="536"/>
      <c r="Q45" s="536"/>
      <c r="R45" s="536"/>
      <c r="S45" s="536"/>
      <c r="T45" s="536">
        <f t="shared" si="8"/>
        <v>0</v>
      </c>
    </row>
    <row r="46" spans="1:20">
      <c r="A46" s="535">
        <f t="shared" si="9"/>
        <v>34</v>
      </c>
      <c r="B46" s="953"/>
      <c r="C46" s="953"/>
      <c r="D46" s="953"/>
      <c r="E46" s="953"/>
      <c r="F46" s="953"/>
      <c r="G46" s="953"/>
      <c r="H46" s="953"/>
      <c r="I46" s="954"/>
      <c r="J46" s="954"/>
      <c r="K46" s="954"/>
      <c r="L46" s="954"/>
      <c r="M46" s="954"/>
      <c r="N46" s="954"/>
      <c r="O46" s="954"/>
      <c r="P46" s="536"/>
      <c r="Q46" s="536"/>
      <c r="R46" s="536"/>
      <c r="S46" s="536"/>
      <c r="T46" s="536">
        <f t="shared" si="8"/>
        <v>0</v>
      </c>
    </row>
    <row r="47" spans="1:20">
      <c r="A47" s="535">
        <f t="shared" si="9"/>
        <v>35</v>
      </c>
      <c r="B47" s="954"/>
      <c r="C47" s="954"/>
      <c r="D47" s="954"/>
      <c r="E47" s="954"/>
      <c r="F47" s="954"/>
      <c r="G47" s="954"/>
      <c r="H47" s="954"/>
      <c r="I47" s="954"/>
      <c r="J47" s="954"/>
      <c r="K47" s="954"/>
      <c r="L47" s="954"/>
      <c r="M47" s="954"/>
      <c r="N47" s="954"/>
      <c r="O47" s="954"/>
      <c r="Q47" s="536"/>
      <c r="R47" s="536"/>
      <c r="S47" s="536"/>
      <c r="T47" s="536">
        <f t="shared" si="8"/>
        <v>0</v>
      </c>
    </row>
    <row r="48" spans="1:20">
      <c r="A48" s="535">
        <f t="shared" si="9"/>
        <v>36</v>
      </c>
      <c r="B48" s="953"/>
      <c r="C48" s="953"/>
      <c r="D48" s="953"/>
      <c r="E48" s="953"/>
      <c r="F48" s="953"/>
      <c r="G48" s="953"/>
      <c r="H48" s="953"/>
      <c r="I48" s="954"/>
      <c r="J48" s="954"/>
      <c r="K48" s="954"/>
      <c r="L48" s="954"/>
      <c r="M48" s="954"/>
      <c r="N48" s="954"/>
      <c r="O48" s="954"/>
      <c r="Q48" s="536"/>
      <c r="R48" s="536"/>
      <c r="S48" s="536"/>
      <c r="T48" s="536">
        <f t="shared" si="8"/>
        <v>0</v>
      </c>
    </row>
    <row r="49" spans="1:20">
      <c r="A49" s="535">
        <f t="shared" si="9"/>
        <v>37</v>
      </c>
      <c r="B49" s="954"/>
      <c r="C49" s="954"/>
      <c r="D49" s="954"/>
      <c r="E49" s="954"/>
      <c r="F49" s="954"/>
      <c r="G49" s="954"/>
      <c r="H49" s="954"/>
      <c r="I49" s="954"/>
      <c r="J49" s="954"/>
      <c r="K49" s="954"/>
      <c r="L49" s="954"/>
      <c r="M49" s="954"/>
      <c r="N49" s="954"/>
      <c r="O49" s="954"/>
      <c r="Q49" s="536"/>
      <c r="R49" s="536"/>
      <c r="S49" s="536"/>
      <c r="T49" s="536">
        <f t="shared" si="8"/>
        <v>0</v>
      </c>
    </row>
    <row r="50" spans="1:20">
      <c r="A50" s="535">
        <f t="shared" si="9"/>
        <v>38</v>
      </c>
      <c r="B50" s="954"/>
      <c r="C50" s="954"/>
      <c r="D50" s="954"/>
      <c r="E50" s="954"/>
      <c r="F50" s="954"/>
      <c r="G50" s="954"/>
      <c r="H50" s="954"/>
      <c r="I50" s="954"/>
      <c r="J50" s="954"/>
      <c r="K50" s="954"/>
      <c r="L50" s="954"/>
      <c r="M50" s="954"/>
      <c r="N50" s="954"/>
      <c r="O50" s="954"/>
      <c r="Q50" s="536"/>
      <c r="R50" s="536"/>
      <c r="S50" s="536"/>
      <c r="T50" s="536">
        <f t="shared" si="8"/>
        <v>0</v>
      </c>
    </row>
    <row r="51" spans="1:20">
      <c r="A51" s="535">
        <f t="shared" si="9"/>
        <v>39</v>
      </c>
      <c r="B51" s="954"/>
      <c r="C51" s="954"/>
      <c r="D51" s="954"/>
      <c r="E51" s="954"/>
      <c r="F51" s="954"/>
      <c r="G51" s="954"/>
      <c r="H51" s="954"/>
      <c r="I51" s="954"/>
      <c r="J51" s="954"/>
      <c r="K51" s="954"/>
      <c r="L51" s="954"/>
      <c r="M51" s="954"/>
      <c r="N51" s="954"/>
      <c r="O51" s="954"/>
      <c r="Q51" s="536"/>
      <c r="R51" s="536"/>
      <c r="S51" s="536"/>
      <c r="T51" s="536">
        <f t="shared" si="8"/>
        <v>0</v>
      </c>
    </row>
    <row r="52" spans="1:20">
      <c r="A52" s="535">
        <f t="shared" si="9"/>
        <v>40</v>
      </c>
      <c r="B52" s="368" t="s">
        <v>13</v>
      </c>
      <c r="C52" s="536">
        <f>SUM(C34:C51)</f>
        <v>164734971.78</v>
      </c>
      <c r="D52" s="536">
        <f t="shared" ref="D52" si="12">SUM(D34:D51)</f>
        <v>166044195.79319447</v>
      </c>
      <c r="E52" s="536">
        <f t="shared" ref="E52" si="13">SUM(E34:E51)</f>
        <v>167411189.17542723</v>
      </c>
      <c r="F52" s="536">
        <f t="shared" ref="F52" si="14">SUM(F34:F51)</f>
        <v>168816940.47453299</v>
      </c>
      <c r="G52" s="536">
        <f t="shared" ref="G52" si="15">SUM(G34:G51)</f>
        <v>170261073.74901173</v>
      </c>
      <c r="H52" s="536">
        <f t="shared" ref="H52" si="16">SUM(H34:H51)</f>
        <v>171722953.99682373</v>
      </c>
      <c r="I52" s="536">
        <f t="shared" ref="I52" si="17">SUM(I34:I51)</f>
        <v>173201187.88630241</v>
      </c>
      <c r="J52" s="536">
        <f t="shared" ref="J52" si="18">SUM(J34:J51)</f>
        <v>174689130.04244781</v>
      </c>
      <c r="K52" s="536">
        <f t="shared" ref="K52" si="19">SUM(K34:K51)</f>
        <v>176183784.12525982</v>
      </c>
      <c r="L52" s="536">
        <f t="shared" ref="L52" si="20">SUM(L34:L51)</f>
        <v>177671728.42325345</v>
      </c>
      <c r="M52" s="536">
        <f t="shared" ref="M52" si="21">SUM(M34:M51)</f>
        <v>179251546.9459703</v>
      </c>
      <c r="N52" s="536">
        <f t="shared" ref="N52" si="22">SUM(N34:N51)</f>
        <v>180942593.59156215</v>
      </c>
      <c r="O52" s="536">
        <f t="shared" ref="O52" si="23">SUM(O34:O51)</f>
        <v>182606398.51411915</v>
      </c>
      <c r="P52" s="536">
        <f>AVERAGE(C52:O52)</f>
        <v>173349053.42291579</v>
      </c>
      <c r="Q52" s="536">
        <f>SUM(Q34:Q51)</f>
        <v>22941553.527233448</v>
      </c>
      <c r="R52" s="536">
        <f>SUM(R34:R51)</f>
        <v>129428243.19596916</v>
      </c>
      <c r="S52" s="536">
        <f>SUM(S34:S51)</f>
        <v>20979256.699713171</v>
      </c>
      <c r="T52" s="536">
        <f t="shared" si="8"/>
        <v>173349053.42291579</v>
      </c>
    </row>
    <row r="53" spans="1:20">
      <c r="A53" s="535">
        <f t="shared" si="9"/>
        <v>41</v>
      </c>
      <c r="B53" s="368"/>
      <c r="C53" s="536"/>
      <c r="D53" s="536"/>
      <c r="E53" s="536"/>
      <c r="F53" s="536"/>
      <c r="G53" s="536"/>
      <c r="H53" s="536"/>
      <c r="I53" s="536"/>
      <c r="J53" s="536"/>
      <c r="K53" s="536"/>
      <c r="L53" s="536"/>
      <c r="M53" s="536"/>
      <c r="N53" s="536"/>
      <c r="O53" s="536"/>
      <c r="P53" s="537" t="s">
        <v>698</v>
      </c>
      <c r="Q53" s="538">
        <f>Q28</f>
        <v>1</v>
      </c>
      <c r="R53" s="538">
        <f t="shared" ref="R53:S53" si="24">R28</f>
        <v>0</v>
      </c>
      <c r="S53" s="538">
        <f t="shared" si="24"/>
        <v>9.9526966285675506E-2</v>
      </c>
      <c r="T53" s="536"/>
    </row>
    <row r="54" spans="1:20">
      <c r="A54" s="535">
        <f t="shared" si="9"/>
        <v>42</v>
      </c>
      <c r="B54" s="368"/>
      <c r="C54" s="536"/>
      <c r="D54" s="536"/>
      <c r="E54" s="536"/>
      <c r="F54" s="536"/>
      <c r="G54" s="536"/>
      <c r="H54" s="536"/>
      <c r="I54" s="536"/>
      <c r="J54" s="536"/>
      <c r="K54" s="536"/>
      <c r="L54" s="536"/>
      <c r="M54" s="536"/>
      <c r="N54" s="536"/>
      <c r="O54" s="536"/>
      <c r="P54" s="537" t="s">
        <v>786</v>
      </c>
      <c r="Q54" s="536">
        <f>Q52*Q53</f>
        <v>22941553.527233448</v>
      </c>
      <c r="R54" s="536">
        <f t="shared" ref="R54" si="25">R52*R53</f>
        <v>0</v>
      </c>
      <c r="S54" s="536">
        <f t="shared" ref="S54" si="26">S52*S53</f>
        <v>2088001.7742508848</v>
      </c>
      <c r="T54" s="536">
        <f>SUM(Q54:S54)</f>
        <v>25029555.301484331</v>
      </c>
    </row>
    <row r="55" spans="1:20">
      <c r="C55" s="530" t="str">
        <f>B1</f>
        <v>PECO Energy Company</v>
      </c>
    </row>
    <row r="56" spans="1:20">
      <c r="B56" s="1138"/>
      <c r="C56" s="1138"/>
      <c r="D56" s="1138"/>
      <c r="E56" s="1138"/>
      <c r="F56" s="1138"/>
      <c r="G56" s="1138"/>
      <c r="H56" s="1138"/>
      <c r="T56" s="529" t="s">
        <v>154</v>
      </c>
    </row>
    <row r="57" spans="1:20">
      <c r="B57" s="1137" t="s">
        <v>652</v>
      </c>
      <c r="C57" s="1137"/>
      <c r="D57" s="1137"/>
      <c r="E57" s="1137"/>
      <c r="F57" s="1137"/>
      <c r="G57" s="1137"/>
    </row>
    <row r="59" spans="1:20">
      <c r="B59" s="368" t="s">
        <v>198</v>
      </c>
      <c r="C59" s="368" t="s">
        <v>199</v>
      </c>
      <c r="D59" s="368" t="s">
        <v>200</v>
      </c>
      <c r="E59" s="368" t="s">
        <v>201</v>
      </c>
      <c r="F59" s="368" t="s">
        <v>203</v>
      </c>
      <c r="G59" s="368" t="s">
        <v>202</v>
      </c>
      <c r="H59" s="368" t="s">
        <v>204</v>
      </c>
      <c r="I59" s="368" t="s">
        <v>205</v>
      </c>
      <c r="J59" s="368" t="s">
        <v>206</v>
      </c>
      <c r="K59" s="368" t="s">
        <v>244</v>
      </c>
      <c r="L59" s="368" t="s">
        <v>248</v>
      </c>
      <c r="M59" s="368" t="s">
        <v>453</v>
      </c>
      <c r="N59" s="368" t="s">
        <v>779</v>
      </c>
      <c r="O59" s="368" t="s">
        <v>780</v>
      </c>
      <c r="P59" s="368" t="s">
        <v>781</v>
      </c>
      <c r="Q59" s="368" t="s">
        <v>782</v>
      </c>
      <c r="R59" s="368" t="s">
        <v>783</v>
      </c>
      <c r="S59" s="368" t="s">
        <v>784</v>
      </c>
      <c r="T59" s="368" t="s">
        <v>787</v>
      </c>
    </row>
    <row r="60" spans="1:20">
      <c r="B60" s="376" t="s">
        <v>785</v>
      </c>
      <c r="C60" s="531" t="s">
        <v>195</v>
      </c>
      <c r="D60" s="368" t="s">
        <v>84</v>
      </c>
      <c r="E60" s="368" t="s">
        <v>83</v>
      </c>
      <c r="F60" s="368" t="s">
        <v>82</v>
      </c>
      <c r="G60" s="368" t="s">
        <v>74</v>
      </c>
      <c r="H60" s="368" t="s">
        <v>73</v>
      </c>
      <c r="I60" s="368" t="s">
        <v>93</v>
      </c>
      <c r="J60" s="368" t="s">
        <v>81</v>
      </c>
      <c r="K60" s="368" t="s">
        <v>80</v>
      </c>
      <c r="L60" s="368" t="s">
        <v>79</v>
      </c>
      <c r="M60" s="368" t="s">
        <v>85</v>
      </c>
      <c r="N60" s="368" t="s">
        <v>78</v>
      </c>
      <c r="O60" s="368" t="s">
        <v>77</v>
      </c>
      <c r="P60" s="368" t="s">
        <v>481</v>
      </c>
      <c r="Q60" s="529" t="s">
        <v>17</v>
      </c>
      <c r="R60" s="529" t="s">
        <v>778</v>
      </c>
      <c r="S60" s="529" t="s">
        <v>685</v>
      </c>
      <c r="T60" s="532" t="s">
        <v>13</v>
      </c>
    </row>
    <row r="61" spans="1:20">
      <c r="B61" s="376" t="str">
        <f>B7&amp;" Minus "&amp;B32</f>
        <v>Gross Plant Minus Accumulated Depreciation</v>
      </c>
      <c r="C61" s="531"/>
      <c r="D61" s="368"/>
      <c r="E61" s="368"/>
      <c r="F61" s="368"/>
      <c r="G61" s="368"/>
      <c r="H61" s="368"/>
      <c r="I61" s="368"/>
      <c r="J61" s="368"/>
      <c r="K61" s="368"/>
      <c r="L61" s="368"/>
      <c r="M61" s="368"/>
      <c r="N61" s="368"/>
      <c r="O61" s="368"/>
      <c r="P61" s="533" t="s">
        <v>788</v>
      </c>
      <c r="T61" s="534" t="s">
        <v>1097</v>
      </c>
    </row>
    <row r="62" spans="1:20">
      <c r="A62" s="535">
        <f>A54+1</f>
        <v>43</v>
      </c>
      <c r="B62" s="950" t="str">
        <f t="shared" ref="B62:B69" si="27">B34</f>
        <v>Intangible - General</v>
      </c>
      <c r="C62" s="539">
        <f t="shared" ref="C62:C79" si="28">C9-C34</f>
        <v>8723976.9700000025</v>
      </c>
      <c r="D62" s="539">
        <f t="shared" ref="D62:O62" si="29">D9-D34</f>
        <v>14399243.384710941</v>
      </c>
      <c r="E62" s="539">
        <f t="shared" si="29"/>
        <v>14653593.675785959</v>
      </c>
      <c r="F62" s="539">
        <f t="shared" si="29"/>
        <v>17884679.349873088</v>
      </c>
      <c r="G62" s="539">
        <f t="shared" si="29"/>
        <v>18023063.929448105</v>
      </c>
      <c r="H62" s="539">
        <f t="shared" si="29"/>
        <v>18276263.545689791</v>
      </c>
      <c r="I62" s="539">
        <f t="shared" si="29"/>
        <v>18213346.500264809</v>
      </c>
      <c r="J62" s="539">
        <f t="shared" si="29"/>
        <v>17643039.20817316</v>
      </c>
      <c r="K62" s="539">
        <f t="shared" si="29"/>
        <v>17204139.969414845</v>
      </c>
      <c r="L62" s="539">
        <f t="shared" si="29"/>
        <v>17283637.31726373</v>
      </c>
      <c r="M62" s="539">
        <f t="shared" si="29"/>
        <v>17079162.123142269</v>
      </c>
      <c r="N62" s="539">
        <f t="shared" si="29"/>
        <v>17349239.710687473</v>
      </c>
      <c r="O62" s="539">
        <f t="shared" si="29"/>
        <v>14337925.717993304</v>
      </c>
      <c r="P62" s="536">
        <f>AVERAGE(C62:O62)</f>
        <v>16236254.72326519</v>
      </c>
      <c r="Q62" s="536"/>
      <c r="R62" s="536"/>
      <c r="S62" s="536">
        <f>P62</f>
        <v>16236254.72326519</v>
      </c>
      <c r="T62" s="536">
        <f>SUM(Q62:S62)</f>
        <v>16236254.72326519</v>
      </c>
    </row>
    <row r="63" spans="1:20">
      <c r="A63" s="535">
        <f>A62+1</f>
        <v>44</v>
      </c>
      <c r="B63" s="950" t="str">
        <f t="shared" si="27"/>
        <v>IT NERC CIP - Transmission</v>
      </c>
      <c r="C63" s="539">
        <f t="shared" si="28"/>
        <v>97446.900000000373</v>
      </c>
      <c r="D63" s="539">
        <f t="shared" ref="D63:O63" si="30">D10-D35</f>
        <v>90056.599999999627</v>
      </c>
      <c r="E63" s="539">
        <f t="shared" si="30"/>
        <v>82666.320000000298</v>
      </c>
      <c r="F63" s="539">
        <f t="shared" si="30"/>
        <v>75545.120000001043</v>
      </c>
      <c r="G63" s="539">
        <f t="shared" si="30"/>
        <v>68693.030000001192</v>
      </c>
      <c r="H63" s="539">
        <f t="shared" si="30"/>
        <v>61840.930000001565</v>
      </c>
      <c r="I63" s="539">
        <f t="shared" si="30"/>
        <v>54988.840000001714</v>
      </c>
      <c r="J63" s="539">
        <f t="shared" si="30"/>
        <v>48136.740000002086</v>
      </c>
      <c r="K63" s="539">
        <f t="shared" si="30"/>
        <v>41284.650000002235</v>
      </c>
      <c r="L63" s="539">
        <f t="shared" si="30"/>
        <v>34432.550000002608</v>
      </c>
      <c r="M63" s="539">
        <f t="shared" si="30"/>
        <v>27580.460000002757</v>
      </c>
      <c r="N63" s="539">
        <f t="shared" si="30"/>
        <v>21916.870000002906</v>
      </c>
      <c r="O63" s="539">
        <f t="shared" si="30"/>
        <v>17441.810000002384</v>
      </c>
      <c r="P63" s="536">
        <f t="shared" ref="P63:P70" si="31">AVERAGE(C63:O63)</f>
        <v>55540.832307693905</v>
      </c>
      <c r="Q63" s="536">
        <f>P63</f>
        <v>55540.832307693905</v>
      </c>
      <c r="R63" s="536"/>
      <c r="S63" s="536"/>
      <c r="T63" s="536">
        <f t="shared" ref="T63:T79" si="32">SUM(Q63:S63)</f>
        <v>55540.832307693905</v>
      </c>
    </row>
    <row r="64" spans="1:20">
      <c r="A64" s="535">
        <f t="shared" ref="A64:A82" si="33">A63+1</f>
        <v>45</v>
      </c>
      <c r="B64" s="950" t="str">
        <f t="shared" si="27"/>
        <v>IT NERC CIP - Distribution</v>
      </c>
      <c r="C64" s="539">
        <f t="shared" si="28"/>
        <v>14287.920000000158</v>
      </c>
      <c r="D64" s="539">
        <f t="shared" ref="D64:O64" si="34">D11-D36</f>
        <v>13139.030000000261</v>
      </c>
      <c r="E64" s="539">
        <f t="shared" si="34"/>
        <v>11990.130000000354</v>
      </c>
      <c r="F64" s="539">
        <f t="shared" si="34"/>
        <v>10869.950000000419</v>
      </c>
      <c r="G64" s="539">
        <f t="shared" si="34"/>
        <v>9778.4600000004284</v>
      </c>
      <c r="H64" s="539">
        <f t="shared" si="34"/>
        <v>8686.980000000447</v>
      </c>
      <c r="I64" s="539">
        <f t="shared" si="34"/>
        <v>7595.4900000004563</v>
      </c>
      <c r="J64" s="539">
        <f t="shared" si="34"/>
        <v>6504.010000000475</v>
      </c>
      <c r="K64" s="539">
        <f t="shared" si="34"/>
        <v>5412.5200000004843</v>
      </c>
      <c r="L64" s="539">
        <f t="shared" si="34"/>
        <v>4321.0400000005029</v>
      </c>
      <c r="M64" s="539">
        <f t="shared" si="34"/>
        <v>3229.5500000005122</v>
      </c>
      <c r="N64" s="539">
        <f t="shared" si="34"/>
        <v>2435.2000000004191</v>
      </c>
      <c r="O64" s="539">
        <f t="shared" si="34"/>
        <v>1937.9600000004284</v>
      </c>
      <c r="P64" s="536">
        <f t="shared" si="31"/>
        <v>7706.7876923081039</v>
      </c>
      <c r="Q64" s="536"/>
      <c r="R64" s="536">
        <f>P64</f>
        <v>7706.7876923081039</v>
      </c>
      <c r="S64" s="536"/>
      <c r="T64" s="536">
        <f t="shared" si="32"/>
        <v>7706.7876923081039</v>
      </c>
    </row>
    <row r="65" spans="1:20">
      <c r="A65" s="535">
        <f t="shared" si="33"/>
        <v>46</v>
      </c>
      <c r="B65" s="950" t="str">
        <f t="shared" si="27"/>
        <v>IT DSP - Distribution</v>
      </c>
      <c r="C65" s="539">
        <f t="shared" si="28"/>
        <v>0</v>
      </c>
      <c r="D65" s="539">
        <f t="shared" ref="D65:O65" si="35">D12-D37</f>
        <v>0</v>
      </c>
      <c r="E65" s="539">
        <f t="shared" si="35"/>
        <v>0</v>
      </c>
      <c r="F65" s="539">
        <f t="shared" si="35"/>
        <v>0</v>
      </c>
      <c r="G65" s="539">
        <f t="shared" si="35"/>
        <v>0</v>
      </c>
      <c r="H65" s="539">
        <f t="shared" si="35"/>
        <v>0</v>
      </c>
      <c r="I65" s="539">
        <f t="shared" si="35"/>
        <v>0</v>
      </c>
      <c r="J65" s="539">
        <f t="shared" si="35"/>
        <v>0</v>
      </c>
      <c r="K65" s="539">
        <f t="shared" si="35"/>
        <v>0</v>
      </c>
      <c r="L65" s="539">
        <f t="shared" si="35"/>
        <v>0</v>
      </c>
      <c r="M65" s="539">
        <f t="shared" si="35"/>
        <v>0</v>
      </c>
      <c r="N65" s="539">
        <f t="shared" si="35"/>
        <v>0</v>
      </c>
      <c r="O65" s="539">
        <f t="shared" si="35"/>
        <v>0</v>
      </c>
      <c r="P65" s="536">
        <f t="shared" si="31"/>
        <v>0</v>
      </c>
      <c r="Q65" s="536"/>
      <c r="R65" s="536">
        <f>P65</f>
        <v>0</v>
      </c>
      <c r="S65" s="536"/>
      <c r="T65" s="536">
        <f t="shared" si="32"/>
        <v>0</v>
      </c>
    </row>
    <row r="66" spans="1:20">
      <c r="A66" s="535">
        <f t="shared" si="33"/>
        <v>47</v>
      </c>
      <c r="B66" s="950" t="str">
        <f t="shared" si="27"/>
        <v>IT Business Intelligence Data Analysis - Distribution</v>
      </c>
      <c r="C66" s="539">
        <f t="shared" si="28"/>
        <v>13718175.939631427</v>
      </c>
      <c r="D66" s="539">
        <f t="shared" ref="D66:O66" si="36">D13-D38</f>
        <v>13545452.885746373</v>
      </c>
      <c r="E66" s="539">
        <f t="shared" si="36"/>
        <v>13372729.831861319</v>
      </c>
      <c r="F66" s="539">
        <f t="shared" si="36"/>
        <v>13200006.777976265</v>
      </c>
      <c r="G66" s="539">
        <f t="shared" si="36"/>
        <v>13027283.724091211</v>
      </c>
      <c r="H66" s="539">
        <f t="shared" si="36"/>
        <v>12854560.670206157</v>
      </c>
      <c r="I66" s="539">
        <f t="shared" si="36"/>
        <v>12681837.616321104</v>
      </c>
      <c r="J66" s="539">
        <f t="shared" si="36"/>
        <v>12509114.562436052</v>
      </c>
      <c r="K66" s="539">
        <f t="shared" si="36"/>
        <v>12336391.508550998</v>
      </c>
      <c r="L66" s="539">
        <f t="shared" si="36"/>
        <v>12163668.454665944</v>
      </c>
      <c r="M66" s="539">
        <f t="shared" si="36"/>
        <v>28086147.856239226</v>
      </c>
      <c r="N66" s="539">
        <f t="shared" si="36"/>
        <v>27720609.713270839</v>
      </c>
      <c r="O66" s="539">
        <f t="shared" si="36"/>
        <v>27355071.570302453</v>
      </c>
      <c r="P66" s="536">
        <f t="shared" si="31"/>
        <v>16351619.316253798</v>
      </c>
      <c r="Q66" s="536"/>
      <c r="R66" s="536">
        <f>P66</f>
        <v>16351619.316253798</v>
      </c>
      <c r="S66" s="536"/>
      <c r="T66" s="536">
        <f t="shared" si="32"/>
        <v>16351619.316253798</v>
      </c>
    </row>
    <row r="67" spans="1:20">
      <c r="A67" s="535">
        <f t="shared" si="33"/>
        <v>48</v>
      </c>
      <c r="B67" s="950" t="str">
        <f t="shared" si="27"/>
        <v>IT Post 2010 and Other - Distribution</v>
      </c>
      <c r="C67" s="539">
        <f t="shared" si="28"/>
        <v>12044168.439999994</v>
      </c>
      <c r="D67" s="539">
        <f t="shared" ref="D67:O67" si="37">D14-D39</f>
        <v>11842859.234444439</v>
      </c>
      <c r="E67" s="539">
        <f t="shared" si="37"/>
        <v>11641550.028888885</v>
      </c>
      <c r="F67" s="539">
        <f t="shared" si="37"/>
        <v>11440240.82333333</v>
      </c>
      <c r="G67" s="539">
        <f t="shared" si="37"/>
        <v>11238931.617777776</v>
      </c>
      <c r="H67" s="539">
        <f t="shared" si="37"/>
        <v>11037622.412222221</v>
      </c>
      <c r="I67" s="539">
        <f t="shared" si="37"/>
        <v>10836313.216666665</v>
      </c>
      <c r="J67" s="539">
        <f t="shared" si="37"/>
        <v>10635004.01111111</v>
      </c>
      <c r="K67" s="539">
        <f t="shared" si="37"/>
        <v>10433694.815555554</v>
      </c>
      <c r="L67" s="539">
        <f t="shared" si="37"/>
        <v>10232385.609999999</v>
      </c>
      <c r="M67" s="539">
        <f t="shared" si="37"/>
        <v>10031076.414444443</v>
      </c>
      <c r="N67" s="539">
        <f t="shared" si="37"/>
        <v>9829767.2088888884</v>
      </c>
      <c r="O67" s="539">
        <f t="shared" si="37"/>
        <v>9628458.0133333318</v>
      </c>
      <c r="P67" s="536">
        <f t="shared" si="31"/>
        <v>10836313.218974356</v>
      </c>
      <c r="Q67" s="536"/>
      <c r="R67" s="536">
        <f>P67</f>
        <v>10836313.218974356</v>
      </c>
      <c r="S67" s="536"/>
      <c r="T67" s="536">
        <f t="shared" si="32"/>
        <v>10836313.218974356</v>
      </c>
    </row>
    <row r="68" spans="1:20">
      <c r="A68" s="535">
        <f t="shared" si="33"/>
        <v>49</v>
      </c>
      <c r="B68" s="950" t="str">
        <f t="shared" si="27"/>
        <v>IT Smart Meter - Distribution</v>
      </c>
      <c r="C68" s="539">
        <f t="shared" si="28"/>
        <v>8657473.1000000089</v>
      </c>
      <c r="D68" s="539">
        <f t="shared" ref="D68:O68" si="38">D15-D40</f>
        <v>8568289.1054545492</v>
      </c>
      <c r="E68" s="539">
        <f t="shared" si="38"/>
        <v>8483387.1309091002</v>
      </c>
      <c r="F68" s="539">
        <f t="shared" si="38"/>
        <v>8395043.7659906745</v>
      </c>
      <c r="G68" s="539">
        <f t="shared" si="38"/>
        <v>8303259.0306992829</v>
      </c>
      <c r="H68" s="539">
        <f t="shared" si="38"/>
        <v>8211474.2854079008</v>
      </c>
      <c r="I68" s="539">
        <f t="shared" si="38"/>
        <v>8119689.5501165092</v>
      </c>
      <c r="J68" s="539">
        <f t="shared" si="38"/>
        <v>8027904.8048251271</v>
      </c>
      <c r="K68" s="539">
        <f t="shared" si="38"/>
        <v>7936120.0695337355</v>
      </c>
      <c r="L68" s="539">
        <f t="shared" si="38"/>
        <v>7863330.3642423451</v>
      </c>
      <c r="M68" s="539">
        <f t="shared" si="38"/>
        <v>7809535.6989509612</v>
      </c>
      <c r="N68" s="539">
        <f t="shared" si="38"/>
        <v>7755741.0336595774</v>
      </c>
      <c r="O68" s="539">
        <f t="shared" si="38"/>
        <v>7717260.2229136378</v>
      </c>
      <c r="P68" s="536">
        <f t="shared" si="31"/>
        <v>8142192.9355925703</v>
      </c>
      <c r="Q68" s="536"/>
      <c r="R68" s="536">
        <f>P68</f>
        <v>8142192.9355925703</v>
      </c>
      <c r="S68" s="536"/>
      <c r="T68" s="536">
        <f t="shared" si="32"/>
        <v>8142192.9355925703</v>
      </c>
    </row>
    <row r="69" spans="1:20">
      <c r="A69" s="535">
        <f t="shared" si="33"/>
        <v>50</v>
      </c>
      <c r="B69" s="950" t="str">
        <f t="shared" si="27"/>
        <v>IT Other - Transmission</v>
      </c>
      <c r="C69" s="539">
        <f t="shared" si="28"/>
        <v>17104125.670000002</v>
      </c>
      <c r="D69" s="539">
        <f t="shared" ref="D69:O69" si="39">D16-D41</f>
        <v>17007942.420000002</v>
      </c>
      <c r="E69" s="539">
        <f t="shared" si="39"/>
        <v>16911759.170000002</v>
      </c>
      <c r="F69" s="539">
        <f t="shared" si="39"/>
        <v>16815575.920000002</v>
      </c>
      <c r="G69" s="539">
        <f t="shared" si="39"/>
        <v>16719392.67</v>
      </c>
      <c r="H69" s="539">
        <f t="shared" si="39"/>
        <v>16623209.42</v>
      </c>
      <c r="I69" s="539">
        <f t="shared" si="39"/>
        <v>16527026.17</v>
      </c>
      <c r="J69" s="539">
        <f t="shared" si="39"/>
        <v>16430842.92</v>
      </c>
      <c r="K69" s="539">
        <f t="shared" si="39"/>
        <v>16334659.67</v>
      </c>
      <c r="L69" s="539">
        <f t="shared" si="39"/>
        <v>16238476.42</v>
      </c>
      <c r="M69" s="539">
        <f t="shared" si="39"/>
        <v>16142293.16</v>
      </c>
      <c r="N69" s="539">
        <f t="shared" si="39"/>
        <v>16046109.91</v>
      </c>
      <c r="O69" s="539">
        <f t="shared" si="39"/>
        <v>15949926.640000001</v>
      </c>
      <c r="P69" s="536">
        <f t="shared" si="31"/>
        <v>16527026.166153844</v>
      </c>
      <c r="Q69" s="536">
        <f>P69</f>
        <v>16527026.166153844</v>
      </c>
      <c r="R69" s="536"/>
      <c r="S69" s="536"/>
      <c r="T69" s="536">
        <f t="shared" si="32"/>
        <v>16527026.166153844</v>
      </c>
    </row>
    <row r="70" spans="1:20">
      <c r="A70" s="535">
        <f t="shared" si="33"/>
        <v>51</v>
      </c>
      <c r="B70" s="950" t="s">
        <v>1551</v>
      </c>
      <c r="C70" s="539">
        <f t="shared" si="28"/>
        <v>818609.29036857118</v>
      </c>
      <c r="D70" s="539">
        <f t="shared" ref="D70:O70" si="40">D17-D42</f>
        <v>804573.26104684523</v>
      </c>
      <c r="E70" s="539">
        <f t="shared" si="40"/>
        <v>790537.23172511905</v>
      </c>
      <c r="F70" s="539">
        <f t="shared" si="40"/>
        <v>776501.20240339311</v>
      </c>
      <c r="G70" s="539">
        <f t="shared" si="40"/>
        <v>762465.17308166693</v>
      </c>
      <c r="H70" s="539">
        <f t="shared" si="40"/>
        <v>748429.14375994098</v>
      </c>
      <c r="I70" s="539">
        <f t="shared" si="40"/>
        <v>734393.1144382148</v>
      </c>
      <c r="J70" s="539">
        <f t="shared" si="40"/>
        <v>720357.08511648886</v>
      </c>
      <c r="K70" s="539">
        <f t="shared" si="40"/>
        <v>706321.05579476268</v>
      </c>
      <c r="L70" s="539">
        <f t="shared" si="40"/>
        <v>692285.02647303673</v>
      </c>
      <c r="M70" s="539">
        <f t="shared" si="40"/>
        <v>678248.99715131056</v>
      </c>
      <c r="N70" s="539">
        <f t="shared" si="40"/>
        <v>664212.96782958449</v>
      </c>
      <c r="O70" s="539">
        <f t="shared" si="40"/>
        <v>650176.93850785843</v>
      </c>
      <c r="P70" s="536">
        <f t="shared" si="31"/>
        <v>734393.1144382148</v>
      </c>
      <c r="Q70" s="536">
        <f>P70</f>
        <v>734393.1144382148</v>
      </c>
      <c r="R70" s="536">
        <f>P70</f>
        <v>734393.1144382148</v>
      </c>
      <c r="S70" s="536"/>
      <c r="T70" s="536">
        <f t="shared" si="32"/>
        <v>1468786.2288764296</v>
      </c>
    </row>
    <row r="71" spans="1:20">
      <c r="A71" s="535">
        <f t="shared" si="33"/>
        <v>52</v>
      </c>
      <c r="B71" s="953"/>
      <c r="C71" s="539">
        <f t="shared" si="28"/>
        <v>0</v>
      </c>
      <c r="D71" s="539">
        <f t="shared" ref="D71:O71" si="41">D18-D43</f>
        <v>0</v>
      </c>
      <c r="E71" s="539">
        <f t="shared" si="41"/>
        <v>0</v>
      </c>
      <c r="F71" s="539">
        <f t="shared" si="41"/>
        <v>0</v>
      </c>
      <c r="G71" s="539">
        <f t="shared" si="41"/>
        <v>0</v>
      </c>
      <c r="H71" s="539">
        <f t="shared" si="41"/>
        <v>0</v>
      </c>
      <c r="I71" s="539">
        <f t="shared" si="41"/>
        <v>0</v>
      </c>
      <c r="J71" s="539">
        <f t="shared" si="41"/>
        <v>0</v>
      </c>
      <c r="K71" s="539">
        <f t="shared" si="41"/>
        <v>0</v>
      </c>
      <c r="L71" s="539">
        <f t="shared" si="41"/>
        <v>0</v>
      </c>
      <c r="M71" s="539">
        <f t="shared" si="41"/>
        <v>0</v>
      </c>
      <c r="N71" s="539">
        <f t="shared" si="41"/>
        <v>0</v>
      </c>
      <c r="O71" s="539">
        <f t="shared" si="41"/>
        <v>0</v>
      </c>
      <c r="P71" s="536"/>
      <c r="Q71" s="536"/>
      <c r="R71" s="536"/>
      <c r="S71" s="536"/>
      <c r="T71" s="536">
        <f t="shared" si="32"/>
        <v>0</v>
      </c>
    </row>
    <row r="72" spans="1:20">
      <c r="A72" s="535">
        <f t="shared" si="33"/>
        <v>53</v>
      </c>
      <c r="B72" s="953"/>
      <c r="C72" s="539">
        <f t="shared" si="28"/>
        <v>0</v>
      </c>
      <c r="D72" s="539">
        <f t="shared" ref="D72:O72" si="42">D19-D44</f>
        <v>0</v>
      </c>
      <c r="E72" s="539">
        <f t="shared" si="42"/>
        <v>0</v>
      </c>
      <c r="F72" s="539">
        <f t="shared" si="42"/>
        <v>0</v>
      </c>
      <c r="G72" s="539">
        <f t="shared" si="42"/>
        <v>0</v>
      </c>
      <c r="H72" s="539">
        <f t="shared" si="42"/>
        <v>0</v>
      </c>
      <c r="I72" s="539">
        <f t="shared" si="42"/>
        <v>0</v>
      </c>
      <c r="J72" s="539">
        <f t="shared" si="42"/>
        <v>0</v>
      </c>
      <c r="K72" s="539">
        <f t="shared" si="42"/>
        <v>0</v>
      </c>
      <c r="L72" s="539">
        <f t="shared" si="42"/>
        <v>0</v>
      </c>
      <c r="M72" s="539">
        <f t="shared" si="42"/>
        <v>0</v>
      </c>
      <c r="N72" s="539">
        <f t="shared" si="42"/>
        <v>0</v>
      </c>
      <c r="O72" s="539">
        <f t="shared" si="42"/>
        <v>0</v>
      </c>
      <c r="P72" s="536"/>
      <c r="Q72" s="536"/>
      <c r="R72" s="536"/>
      <c r="S72" s="536"/>
      <c r="T72" s="536">
        <f t="shared" si="32"/>
        <v>0</v>
      </c>
    </row>
    <row r="73" spans="1:20">
      <c r="A73" s="535">
        <f t="shared" si="33"/>
        <v>54</v>
      </c>
      <c r="B73" s="953"/>
      <c r="C73" s="539">
        <f t="shared" si="28"/>
        <v>0</v>
      </c>
      <c r="D73" s="539">
        <f t="shared" ref="D73:O73" si="43">D20-D45</f>
        <v>0</v>
      </c>
      <c r="E73" s="539">
        <f t="shared" si="43"/>
        <v>0</v>
      </c>
      <c r="F73" s="539">
        <f t="shared" si="43"/>
        <v>0</v>
      </c>
      <c r="G73" s="539">
        <f t="shared" si="43"/>
        <v>0</v>
      </c>
      <c r="H73" s="539">
        <f t="shared" si="43"/>
        <v>0</v>
      </c>
      <c r="I73" s="539">
        <f t="shared" si="43"/>
        <v>0</v>
      </c>
      <c r="J73" s="539">
        <f t="shared" si="43"/>
        <v>0</v>
      </c>
      <c r="K73" s="539">
        <f t="shared" si="43"/>
        <v>0</v>
      </c>
      <c r="L73" s="539">
        <f t="shared" si="43"/>
        <v>0</v>
      </c>
      <c r="M73" s="539">
        <f t="shared" si="43"/>
        <v>0</v>
      </c>
      <c r="N73" s="539">
        <f t="shared" si="43"/>
        <v>0</v>
      </c>
      <c r="O73" s="539">
        <f t="shared" si="43"/>
        <v>0</v>
      </c>
      <c r="P73" s="536"/>
      <c r="Q73" s="536"/>
      <c r="R73" s="536"/>
      <c r="S73" s="536"/>
      <c r="T73" s="536">
        <f t="shared" si="32"/>
        <v>0</v>
      </c>
    </row>
    <row r="74" spans="1:20">
      <c r="A74" s="535">
        <f t="shared" si="33"/>
        <v>55</v>
      </c>
      <c r="B74" s="953"/>
      <c r="C74" s="539">
        <f t="shared" si="28"/>
        <v>0</v>
      </c>
      <c r="D74" s="539">
        <f t="shared" ref="D74:O74" si="44">D21-D46</f>
        <v>0</v>
      </c>
      <c r="E74" s="539">
        <f t="shared" si="44"/>
        <v>0</v>
      </c>
      <c r="F74" s="539">
        <f t="shared" si="44"/>
        <v>0</v>
      </c>
      <c r="G74" s="539">
        <f t="shared" si="44"/>
        <v>0</v>
      </c>
      <c r="H74" s="539">
        <f t="shared" si="44"/>
        <v>0</v>
      </c>
      <c r="I74" s="539">
        <f t="shared" si="44"/>
        <v>0</v>
      </c>
      <c r="J74" s="539">
        <f t="shared" si="44"/>
        <v>0</v>
      </c>
      <c r="K74" s="539">
        <f t="shared" si="44"/>
        <v>0</v>
      </c>
      <c r="L74" s="539">
        <f t="shared" si="44"/>
        <v>0</v>
      </c>
      <c r="M74" s="539">
        <f t="shared" si="44"/>
        <v>0</v>
      </c>
      <c r="N74" s="539">
        <f t="shared" si="44"/>
        <v>0</v>
      </c>
      <c r="O74" s="539">
        <f t="shared" si="44"/>
        <v>0</v>
      </c>
      <c r="P74" s="536"/>
      <c r="Q74" s="536"/>
      <c r="R74" s="536"/>
      <c r="S74" s="536"/>
      <c r="T74" s="536">
        <f t="shared" si="32"/>
        <v>0</v>
      </c>
    </row>
    <row r="75" spans="1:20">
      <c r="A75" s="535">
        <f t="shared" si="33"/>
        <v>56</v>
      </c>
      <c r="B75" s="954"/>
      <c r="C75" s="539">
        <f t="shared" si="28"/>
        <v>0</v>
      </c>
      <c r="D75" s="539">
        <f t="shared" ref="D75:O75" si="45">D22-D47</f>
        <v>0</v>
      </c>
      <c r="E75" s="539">
        <f t="shared" si="45"/>
        <v>0</v>
      </c>
      <c r="F75" s="539">
        <f t="shared" si="45"/>
        <v>0</v>
      </c>
      <c r="G75" s="539">
        <f t="shared" si="45"/>
        <v>0</v>
      </c>
      <c r="H75" s="539">
        <f t="shared" si="45"/>
        <v>0</v>
      </c>
      <c r="I75" s="539">
        <f t="shared" si="45"/>
        <v>0</v>
      </c>
      <c r="J75" s="539">
        <f t="shared" si="45"/>
        <v>0</v>
      </c>
      <c r="K75" s="539">
        <f t="shared" si="45"/>
        <v>0</v>
      </c>
      <c r="L75" s="539">
        <f t="shared" si="45"/>
        <v>0</v>
      </c>
      <c r="M75" s="539">
        <f t="shared" si="45"/>
        <v>0</v>
      </c>
      <c r="N75" s="539">
        <f t="shared" si="45"/>
        <v>0</v>
      </c>
      <c r="O75" s="539">
        <f t="shared" si="45"/>
        <v>0</v>
      </c>
      <c r="Q75" s="536"/>
      <c r="R75" s="536"/>
      <c r="S75" s="536"/>
      <c r="T75" s="536">
        <f t="shared" si="32"/>
        <v>0</v>
      </c>
    </row>
    <row r="76" spans="1:20">
      <c r="A76" s="535">
        <f t="shared" si="33"/>
        <v>57</v>
      </c>
      <c r="B76" s="953"/>
      <c r="C76" s="539">
        <f t="shared" si="28"/>
        <v>0</v>
      </c>
      <c r="D76" s="539">
        <f t="shared" ref="D76:O76" si="46">D23-D48</f>
        <v>0</v>
      </c>
      <c r="E76" s="539">
        <f t="shared" si="46"/>
        <v>0</v>
      </c>
      <c r="F76" s="539">
        <f t="shared" si="46"/>
        <v>0</v>
      </c>
      <c r="G76" s="539">
        <f t="shared" si="46"/>
        <v>0</v>
      </c>
      <c r="H76" s="539">
        <f t="shared" si="46"/>
        <v>0</v>
      </c>
      <c r="I76" s="539">
        <f t="shared" si="46"/>
        <v>0</v>
      </c>
      <c r="J76" s="539">
        <f t="shared" si="46"/>
        <v>0</v>
      </c>
      <c r="K76" s="539">
        <f t="shared" si="46"/>
        <v>0</v>
      </c>
      <c r="L76" s="539">
        <f t="shared" si="46"/>
        <v>0</v>
      </c>
      <c r="M76" s="539">
        <f t="shared" si="46"/>
        <v>0</v>
      </c>
      <c r="N76" s="539">
        <f t="shared" si="46"/>
        <v>0</v>
      </c>
      <c r="O76" s="539">
        <f t="shared" si="46"/>
        <v>0</v>
      </c>
      <c r="Q76" s="536"/>
      <c r="R76" s="536"/>
      <c r="S76" s="536"/>
      <c r="T76" s="536">
        <f t="shared" si="32"/>
        <v>0</v>
      </c>
    </row>
    <row r="77" spans="1:20">
      <c r="A77" s="535">
        <f t="shared" si="33"/>
        <v>58</v>
      </c>
      <c r="B77" s="954"/>
      <c r="C77" s="539">
        <f t="shared" si="28"/>
        <v>0</v>
      </c>
      <c r="D77" s="539">
        <f t="shared" ref="D77:O77" si="47">D24-D49</f>
        <v>0</v>
      </c>
      <c r="E77" s="539">
        <f t="shared" si="47"/>
        <v>0</v>
      </c>
      <c r="F77" s="539">
        <f t="shared" si="47"/>
        <v>0</v>
      </c>
      <c r="G77" s="539">
        <f t="shared" si="47"/>
        <v>0</v>
      </c>
      <c r="H77" s="539">
        <f t="shared" si="47"/>
        <v>0</v>
      </c>
      <c r="I77" s="539">
        <f t="shared" si="47"/>
        <v>0</v>
      </c>
      <c r="J77" s="539">
        <f t="shared" si="47"/>
        <v>0</v>
      </c>
      <c r="K77" s="539">
        <f t="shared" si="47"/>
        <v>0</v>
      </c>
      <c r="L77" s="539">
        <f t="shared" si="47"/>
        <v>0</v>
      </c>
      <c r="M77" s="539">
        <f t="shared" si="47"/>
        <v>0</v>
      </c>
      <c r="N77" s="539">
        <f t="shared" si="47"/>
        <v>0</v>
      </c>
      <c r="O77" s="539">
        <f t="shared" si="47"/>
        <v>0</v>
      </c>
      <c r="Q77" s="536"/>
      <c r="R77" s="536"/>
      <c r="S77" s="536"/>
      <c r="T77" s="536">
        <f t="shared" si="32"/>
        <v>0</v>
      </c>
    </row>
    <row r="78" spans="1:20">
      <c r="A78" s="535">
        <f t="shared" si="33"/>
        <v>59</v>
      </c>
      <c r="B78" s="954"/>
      <c r="C78" s="539">
        <f t="shared" si="28"/>
        <v>0</v>
      </c>
      <c r="D78" s="539">
        <f t="shared" ref="D78:O78" si="48">D25-D50</f>
        <v>0</v>
      </c>
      <c r="E78" s="539">
        <f t="shared" si="48"/>
        <v>0</v>
      </c>
      <c r="F78" s="539">
        <f t="shared" si="48"/>
        <v>0</v>
      </c>
      <c r="G78" s="539">
        <f t="shared" si="48"/>
        <v>0</v>
      </c>
      <c r="H78" s="539">
        <f t="shared" si="48"/>
        <v>0</v>
      </c>
      <c r="I78" s="539">
        <f t="shared" si="48"/>
        <v>0</v>
      </c>
      <c r="J78" s="539">
        <f t="shared" si="48"/>
        <v>0</v>
      </c>
      <c r="K78" s="539">
        <f t="shared" si="48"/>
        <v>0</v>
      </c>
      <c r="L78" s="539">
        <f t="shared" si="48"/>
        <v>0</v>
      </c>
      <c r="M78" s="539">
        <f t="shared" si="48"/>
        <v>0</v>
      </c>
      <c r="N78" s="539">
        <f t="shared" si="48"/>
        <v>0</v>
      </c>
      <c r="O78" s="539">
        <f t="shared" si="48"/>
        <v>0</v>
      </c>
      <c r="Q78" s="536"/>
      <c r="R78" s="536"/>
      <c r="S78" s="536"/>
      <c r="T78" s="536">
        <f t="shared" si="32"/>
        <v>0</v>
      </c>
    </row>
    <row r="79" spans="1:20">
      <c r="A79" s="535">
        <f t="shared" si="33"/>
        <v>60</v>
      </c>
      <c r="B79" s="954"/>
      <c r="C79" s="539">
        <f t="shared" si="28"/>
        <v>0</v>
      </c>
      <c r="D79" s="539">
        <f t="shared" ref="D79:O79" si="49">D26-D51</f>
        <v>0</v>
      </c>
      <c r="E79" s="539">
        <f t="shared" si="49"/>
        <v>0</v>
      </c>
      <c r="F79" s="539">
        <f t="shared" si="49"/>
        <v>0</v>
      </c>
      <c r="G79" s="539">
        <f t="shared" si="49"/>
        <v>0</v>
      </c>
      <c r="H79" s="539">
        <f t="shared" si="49"/>
        <v>0</v>
      </c>
      <c r="I79" s="539">
        <f t="shared" si="49"/>
        <v>0</v>
      </c>
      <c r="J79" s="539">
        <f t="shared" si="49"/>
        <v>0</v>
      </c>
      <c r="K79" s="539">
        <f t="shared" si="49"/>
        <v>0</v>
      </c>
      <c r="L79" s="539">
        <f t="shared" si="49"/>
        <v>0</v>
      </c>
      <c r="M79" s="539">
        <f t="shared" si="49"/>
        <v>0</v>
      </c>
      <c r="N79" s="539">
        <f t="shared" si="49"/>
        <v>0</v>
      </c>
      <c r="O79" s="539">
        <f t="shared" si="49"/>
        <v>0</v>
      </c>
      <c r="Q79" s="536"/>
      <c r="R79" s="536"/>
      <c r="S79" s="536"/>
      <c r="T79" s="536">
        <f t="shared" si="32"/>
        <v>0</v>
      </c>
    </row>
    <row r="80" spans="1:20">
      <c r="A80" s="535">
        <f t="shared" si="33"/>
        <v>61</v>
      </c>
      <c r="B80" s="368" t="s">
        <v>13</v>
      </c>
      <c r="C80" s="536">
        <f>SUM(C62:C79)</f>
        <v>61178264.230000004</v>
      </c>
      <c r="D80" s="536">
        <f t="shared" ref="D80:O80" si="50">SUM(D62:D79)</f>
        <v>66271555.921403147</v>
      </c>
      <c r="E80" s="536">
        <f t="shared" si="50"/>
        <v>65948213.519170381</v>
      </c>
      <c r="F80" s="536">
        <f t="shared" si="50"/>
        <v>68598462.909576759</v>
      </c>
      <c r="G80" s="536">
        <f t="shared" si="50"/>
        <v>68152867.63509804</v>
      </c>
      <c r="H80" s="536">
        <f t="shared" si="50"/>
        <v>67822087.387286007</v>
      </c>
      <c r="I80" s="536">
        <f t="shared" si="50"/>
        <v>67175190.497807309</v>
      </c>
      <c r="J80" s="536">
        <f t="shared" si="50"/>
        <v>66020903.341661945</v>
      </c>
      <c r="K80" s="536">
        <f t="shared" si="50"/>
        <v>64998024.258849896</v>
      </c>
      <c r="L80" s="536">
        <f t="shared" si="50"/>
        <v>64512536.782645062</v>
      </c>
      <c r="M80" s="536">
        <f t="shared" si="50"/>
        <v>79857274.259928212</v>
      </c>
      <c r="N80" s="536">
        <f t="shared" si="50"/>
        <v>79390032.614336371</v>
      </c>
      <c r="O80" s="536">
        <f t="shared" si="50"/>
        <v>75658198.873050585</v>
      </c>
      <c r="P80" s="536">
        <f t="shared" ref="P80" si="51">SUM(P62:P79)</f>
        <v>68891047.094677985</v>
      </c>
      <c r="Q80" s="536">
        <f t="shared" ref="Q80" si="52">SUM(Q62:Q79)</f>
        <v>17316960.112899754</v>
      </c>
      <c r="R80" s="536">
        <f t="shared" ref="R80" si="53">SUM(R62:R79)</f>
        <v>36072225.372951247</v>
      </c>
      <c r="S80" s="536">
        <f t="shared" ref="S80" si="54">SUM(S62:S79)</f>
        <v>16236254.72326519</v>
      </c>
      <c r="T80" s="536">
        <f t="shared" ref="T80" si="55">SUM(T62:T79)</f>
        <v>69625440.209116191</v>
      </c>
    </row>
    <row r="81" spans="1:20">
      <c r="A81" s="535">
        <f t="shared" si="33"/>
        <v>62</v>
      </c>
      <c r="B81" s="368"/>
      <c r="C81" s="536"/>
      <c r="D81" s="536"/>
      <c r="E81" s="536"/>
      <c r="F81" s="536"/>
      <c r="G81" s="536"/>
      <c r="H81" s="536"/>
      <c r="I81" s="536"/>
      <c r="J81" s="536"/>
      <c r="K81" s="536"/>
      <c r="L81" s="536"/>
      <c r="M81" s="536"/>
      <c r="N81" s="536"/>
      <c r="O81" s="536"/>
      <c r="P81" s="537" t="s">
        <v>698</v>
      </c>
      <c r="Q81" s="538">
        <f>Q53</f>
        <v>1</v>
      </c>
      <c r="R81" s="538">
        <f t="shared" ref="R81:S81" si="56">R53</f>
        <v>0</v>
      </c>
      <c r="S81" s="538">
        <f t="shared" si="56"/>
        <v>9.9526966285675506E-2</v>
      </c>
      <c r="T81" s="536"/>
    </row>
    <row r="82" spans="1:20">
      <c r="A82" s="535">
        <f t="shared" si="33"/>
        <v>63</v>
      </c>
      <c r="B82" s="368"/>
      <c r="C82" s="536"/>
      <c r="D82" s="536"/>
      <c r="E82" s="536"/>
      <c r="F82" s="536"/>
      <c r="G82" s="536"/>
      <c r="H82" s="536"/>
      <c r="I82" s="536"/>
      <c r="J82" s="536"/>
      <c r="K82" s="536"/>
      <c r="L82" s="536"/>
      <c r="M82" s="536"/>
      <c r="N82" s="536"/>
      <c r="O82" s="536"/>
      <c r="P82" s="537" t="s">
        <v>786</v>
      </c>
      <c r="Q82" s="536">
        <f>Q80*Q81</f>
        <v>17316960.112899754</v>
      </c>
      <c r="R82" s="536">
        <f t="shared" ref="R82" si="57">R80*R81</f>
        <v>0</v>
      </c>
      <c r="S82" s="536">
        <f>S80*S81</f>
        <v>1615945.1764480541</v>
      </c>
      <c r="T82" s="536">
        <f>SUM(Q82:S82)</f>
        <v>18932905.289347809</v>
      </c>
    </row>
    <row r="84" spans="1:20">
      <c r="B84" s="368" t="s">
        <v>198</v>
      </c>
      <c r="C84" s="368" t="s">
        <v>199</v>
      </c>
      <c r="D84" s="368" t="s">
        <v>200</v>
      </c>
      <c r="E84" s="368" t="s">
        <v>201</v>
      </c>
      <c r="F84" s="368" t="s">
        <v>203</v>
      </c>
      <c r="G84" s="368" t="s">
        <v>202</v>
      </c>
      <c r="H84" s="368"/>
      <c r="I84" s="368"/>
      <c r="J84" s="368"/>
      <c r="K84" s="368"/>
      <c r="L84" s="368"/>
      <c r="M84" s="368"/>
      <c r="N84" s="368"/>
      <c r="O84" s="368"/>
      <c r="P84" s="368"/>
      <c r="Q84" s="368"/>
      <c r="R84" s="368"/>
      <c r="S84" s="368"/>
      <c r="T84" s="368"/>
    </row>
    <row r="85" spans="1:20">
      <c r="B85" s="376"/>
      <c r="C85" s="368" t="s">
        <v>13</v>
      </c>
      <c r="D85" s="529" t="s">
        <v>17</v>
      </c>
      <c r="E85" s="529" t="s">
        <v>778</v>
      </c>
      <c r="F85" s="529" t="s">
        <v>685</v>
      </c>
      <c r="G85" s="532" t="s">
        <v>13</v>
      </c>
      <c r="H85" s="368"/>
      <c r="I85" s="368"/>
      <c r="J85" s="368"/>
      <c r="K85" s="368"/>
      <c r="L85" s="368"/>
      <c r="M85" s="368"/>
      <c r="N85" s="368"/>
      <c r="O85" s="368"/>
    </row>
    <row r="86" spans="1:20">
      <c r="B86" s="376" t="s">
        <v>662</v>
      </c>
      <c r="C86" s="533"/>
      <c r="G86" s="534" t="s">
        <v>1098</v>
      </c>
      <c r="H86" s="368"/>
      <c r="I86" s="368"/>
      <c r="J86" s="368"/>
      <c r="K86" s="368"/>
      <c r="L86" s="368"/>
      <c r="M86" s="368"/>
      <c r="N86" s="368"/>
      <c r="O86" s="368"/>
    </row>
    <row r="87" spans="1:20">
      <c r="A87" s="535">
        <f>A82+1</f>
        <v>64</v>
      </c>
      <c r="B87" s="950" t="s">
        <v>1451</v>
      </c>
      <c r="C87" s="951">
        <v>4000853.51</v>
      </c>
      <c r="D87" s="536"/>
      <c r="E87" s="536"/>
      <c r="F87" s="536">
        <f>C87</f>
        <v>4000853.51</v>
      </c>
      <c r="G87" s="536">
        <f>SUM(D87:F87)</f>
        <v>4000853.51</v>
      </c>
      <c r="H87" s="539"/>
      <c r="I87" s="539"/>
      <c r="J87" s="539"/>
      <c r="K87" s="539"/>
      <c r="L87" s="539"/>
      <c r="M87" s="539"/>
      <c r="N87" s="539"/>
      <c r="O87" s="539"/>
    </row>
    <row r="88" spans="1:20">
      <c r="A88" s="535">
        <f>A87+1</f>
        <v>65</v>
      </c>
      <c r="B88" s="950" t="s">
        <v>776</v>
      </c>
      <c r="C88" s="951">
        <v>396047.67000000004</v>
      </c>
      <c r="D88" s="536">
        <f>C88</f>
        <v>396047.67000000004</v>
      </c>
      <c r="E88" s="536"/>
      <c r="F88" s="536"/>
      <c r="G88" s="536">
        <f t="shared" ref="G88:G105" si="58">SUM(D88:F88)</f>
        <v>396047.67000000004</v>
      </c>
      <c r="H88" s="539"/>
      <c r="I88" s="539"/>
      <c r="J88" s="539"/>
      <c r="K88" s="539"/>
      <c r="L88" s="539"/>
      <c r="M88" s="539"/>
      <c r="N88" s="539"/>
      <c r="O88" s="539"/>
    </row>
    <row r="89" spans="1:20">
      <c r="A89" s="535">
        <f t="shared" ref="A89:A107" si="59">A88+1</f>
        <v>66</v>
      </c>
      <c r="B89" s="950" t="s">
        <v>777</v>
      </c>
      <c r="C89" s="951">
        <v>50005.97</v>
      </c>
      <c r="D89" s="536"/>
      <c r="E89" s="536">
        <f>C89</f>
        <v>50005.97</v>
      </c>
      <c r="F89" s="536"/>
      <c r="G89" s="536">
        <f t="shared" si="58"/>
        <v>50005.97</v>
      </c>
      <c r="H89" s="539"/>
      <c r="I89" s="539"/>
      <c r="J89" s="539"/>
      <c r="K89" s="539"/>
      <c r="L89" s="539"/>
      <c r="M89" s="539"/>
      <c r="N89" s="539"/>
      <c r="O89" s="539"/>
    </row>
    <row r="90" spans="1:20">
      <c r="A90" s="535">
        <f t="shared" si="59"/>
        <v>67</v>
      </c>
      <c r="B90" s="950" t="s">
        <v>789</v>
      </c>
      <c r="C90" s="951">
        <v>0</v>
      </c>
      <c r="D90" s="536"/>
      <c r="E90" s="536">
        <f>C90</f>
        <v>0</v>
      </c>
      <c r="F90" s="536"/>
      <c r="G90" s="536">
        <f t="shared" si="58"/>
        <v>0</v>
      </c>
      <c r="H90" s="539"/>
      <c r="I90" s="539"/>
      <c r="J90" s="539"/>
      <c r="K90" s="539"/>
      <c r="L90" s="539"/>
      <c r="M90" s="539"/>
      <c r="N90" s="539"/>
      <c r="O90" s="539"/>
    </row>
    <row r="91" spans="1:20">
      <c r="A91" s="535">
        <f t="shared" si="59"/>
        <v>68</v>
      </c>
      <c r="B91" s="950" t="s">
        <v>1482</v>
      </c>
      <c r="C91" s="951">
        <v>2023462.6348517262</v>
      </c>
      <c r="D91" s="536"/>
      <c r="E91" s="536">
        <f>C91</f>
        <v>2023462.6348517262</v>
      </c>
      <c r="F91" s="536"/>
      <c r="G91" s="536">
        <f t="shared" si="58"/>
        <v>2023462.6348517262</v>
      </c>
      <c r="H91" s="539"/>
      <c r="I91" s="539"/>
      <c r="J91" s="539"/>
      <c r="K91" s="539"/>
      <c r="L91" s="539"/>
      <c r="M91" s="539"/>
      <c r="N91" s="539"/>
      <c r="O91" s="539"/>
    </row>
    <row r="92" spans="1:20">
      <c r="A92" s="535">
        <f t="shared" si="59"/>
        <v>69</v>
      </c>
      <c r="B92" s="950" t="s">
        <v>817</v>
      </c>
      <c r="C92" s="951">
        <v>5570071.1499999994</v>
      </c>
      <c r="D92" s="536"/>
      <c r="E92" s="536">
        <f>C92</f>
        <v>5570071.1499999994</v>
      </c>
      <c r="F92" s="536"/>
      <c r="G92" s="536">
        <f t="shared" si="58"/>
        <v>5570071.1499999994</v>
      </c>
      <c r="H92" s="539"/>
      <c r="I92" s="539"/>
      <c r="J92" s="539"/>
      <c r="K92" s="539"/>
      <c r="L92" s="539"/>
      <c r="M92" s="539"/>
      <c r="N92" s="539"/>
      <c r="O92" s="539"/>
    </row>
    <row r="93" spans="1:20">
      <c r="A93" s="535">
        <f t="shared" si="59"/>
        <v>70</v>
      </c>
      <c r="B93" s="950" t="s">
        <v>790</v>
      </c>
      <c r="C93" s="951">
        <v>1635700.05</v>
      </c>
      <c r="D93" s="536"/>
      <c r="E93" s="536">
        <f>C93</f>
        <v>1635700.05</v>
      </c>
      <c r="F93" s="536"/>
      <c r="G93" s="536">
        <f t="shared" si="58"/>
        <v>1635700.05</v>
      </c>
      <c r="H93" s="539"/>
      <c r="I93" s="539"/>
      <c r="J93" s="539"/>
      <c r="K93" s="539"/>
      <c r="L93" s="539"/>
      <c r="M93" s="539"/>
      <c r="N93" s="539"/>
      <c r="O93" s="539"/>
    </row>
    <row r="94" spans="1:20">
      <c r="A94" s="535">
        <f t="shared" si="59"/>
        <v>71</v>
      </c>
      <c r="B94" s="950" t="s">
        <v>1483</v>
      </c>
      <c r="C94" s="951">
        <v>4300706.2300000004</v>
      </c>
      <c r="D94" s="536">
        <f>C94</f>
        <v>4300706.2300000004</v>
      </c>
      <c r="E94" s="536"/>
      <c r="F94" s="536"/>
      <c r="G94" s="536">
        <f>SUM(D94:F94)</f>
        <v>4300706.2300000004</v>
      </c>
      <c r="H94" s="539"/>
      <c r="I94" s="539"/>
      <c r="J94" s="539"/>
      <c r="K94" s="539"/>
      <c r="L94" s="539"/>
      <c r="M94" s="539"/>
      <c r="N94" s="539"/>
      <c r="O94" s="539"/>
    </row>
    <row r="95" spans="1:20">
      <c r="A95" s="535">
        <f t="shared" si="59"/>
        <v>72</v>
      </c>
      <c r="B95" s="950" t="s">
        <v>1551</v>
      </c>
      <c r="C95" s="951">
        <v>163296.81514827366</v>
      </c>
      <c r="D95" s="536">
        <f>C95</f>
        <v>163296.81514827366</v>
      </c>
      <c r="E95" s="536"/>
      <c r="F95" s="536"/>
      <c r="G95" s="536">
        <f>SUM(D95:F95)</f>
        <v>163296.81514827366</v>
      </c>
      <c r="H95" s="539"/>
      <c r="I95" s="539"/>
      <c r="J95" s="539"/>
      <c r="K95" s="539"/>
      <c r="L95" s="539"/>
      <c r="M95" s="539"/>
      <c r="N95" s="539"/>
      <c r="O95" s="539"/>
    </row>
    <row r="96" spans="1:20">
      <c r="A96" s="535">
        <f t="shared" si="59"/>
        <v>73</v>
      </c>
      <c r="B96" s="953"/>
      <c r="C96" s="951">
        <v>0</v>
      </c>
      <c r="D96" s="536"/>
      <c r="E96" s="536"/>
      <c r="F96" s="536"/>
      <c r="G96" s="536">
        <f t="shared" si="58"/>
        <v>0</v>
      </c>
      <c r="H96" s="539"/>
      <c r="I96" s="539"/>
      <c r="J96" s="539"/>
      <c r="K96" s="539"/>
      <c r="L96" s="539"/>
      <c r="M96" s="539"/>
      <c r="N96" s="539"/>
      <c r="O96" s="539"/>
    </row>
    <row r="97" spans="1:15">
      <c r="A97" s="535">
        <f t="shared" si="59"/>
        <v>74</v>
      </c>
      <c r="B97" s="953"/>
      <c r="C97" s="951">
        <v>0</v>
      </c>
      <c r="D97" s="536"/>
      <c r="E97" s="536"/>
      <c r="F97" s="536"/>
      <c r="G97" s="536">
        <f t="shared" si="58"/>
        <v>0</v>
      </c>
      <c r="H97" s="539"/>
      <c r="I97" s="539"/>
      <c r="J97" s="539"/>
      <c r="K97" s="539"/>
      <c r="L97" s="539"/>
      <c r="M97" s="539"/>
      <c r="N97" s="539"/>
      <c r="O97" s="539"/>
    </row>
    <row r="98" spans="1:15">
      <c r="A98" s="535">
        <f t="shared" si="59"/>
        <v>75</v>
      </c>
      <c r="B98" s="953"/>
      <c r="C98" s="951">
        <v>0</v>
      </c>
      <c r="D98" s="536"/>
      <c r="E98" s="536"/>
      <c r="F98" s="536"/>
      <c r="G98" s="536">
        <f t="shared" si="58"/>
        <v>0</v>
      </c>
      <c r="H98" s="539"/>
      <c r="I98" s="539"/>
      <c r="J98" s="539"/>
      <c r="K98" s="539"/>
      <c r="L98" s="539"/>
      <c r="M98" s="539"/>
      <c r="N98" s="539"/>
      <c r="O98" s="539"/>
    </row>
    <row r="99" spans="1:15">
      <c r="A99" s="535">
        <f t="shared" si="59"/>
        <v>76</v>
      </c>
      <c r="B99" s="953"/>
      <c r="C99" s="951">
        <v>0</v>
      </c>
      <c r="D99" s="536"/>
      <c r="E99" s="536"/>
      <c r="F99" s="536"/>
      <c r="G99" s="536">
        <f t="shared" si="58"/>
        <v>0</v>
      </c>
      <c r="H99" s="539"/>
      <c r="I99" s="539"/>
      <c r="J99" s="539"/>
      <c r="K99" s="539"/>
      <c r="L99" s="539"/>
      <c r="M99" s="539"/>
      <c r="N99" s="539"/>
      <c r="O99" s="539"/>
    </row>
    <row r="100" spans="1:15">
      <c r="A100" s="535">
        <f t="shared" si="59"/>
        <v>77</v>
      </c>
      <c r="B100" s="954"/>
      <c r="C100" s="951">
        <v>0</v>
      </c>
      <c r="D100" s="536"/>
      <c r="E100" s="536"/>
      <c r="F100" s="536"/>
      <c r="G100" s="536">
        <f t="shared" si="58"/>
        <v>0</v>
      </c>
      <c r="H100" s="539"/>
      <c r="I100" s="539"/>
      <c r="J100" s="539"/>
      <c r="K100" s="539"/>
      <c r="L100" s="539"/>
      <c r="M100" s="539"/>
      <c r="N100" s="539"/>
      <c r="O100" s="539"/>
    </row>
    <row r="101" spans="1:15">
      <c r="A101" s="535">
        <f t="shared" si="59"/>
        <v>78</v>
      </c>
      <c r="B101" s="953"/>
      <c r="C101" s="951">
        <v>0</v>
      </c>
      <c r="D101" s="536"/>
      <c r="E101" s="536"/>
      <c r="F101" s="536"/>
      <c r="G101" s="536">
        <f t="shared" si="58"/>
        <v>0</v>
      </c>
      <c r="H101" s="539"/>
      <c r="I101" s="539"/>
      <c r="J101" s="539"/>
      <c r="K101" s="539"/>
      <c r="L101" s="539"/>
      <c r="M101" s="539"/>
      <c r="N101" s="539"/>
      <c r="O101" s="539"/>
    </row>
    <row r="102" spans="1:15">
      <c r="A102" s="535">
        <f t="shared" si="59"/>
        <v>79</v>
      </c>
      <c r="B102" s="954"/>
      <c r="C102" s="951">
        <v>0</v>
      </c>
      <c r="D102" s="536"/>
      <c r="E102" s="536"/>
      <c r="F102" s="536"/>
      <c r="G102" s="536">
        <f t="shared" si="58"/>
        <v>0</v>
      </c>
      <c r="H102" s="539"/>
      <c r="I102" s="539"/>
      <c r="J102" s="539"/>
      <c r="K102" s="539"/>
      <c r="L102" s="539"/>
      <c r="M102" s="539"/>
      <c r="N102" s="539"/>
      <c r="O102" s="539"/>
    </row>
    <row r="103" spans="1:15">
      <c r="A103" s="535">
        <f t="shared" si="59"/>
        <v>80</v>
      </c>
      <c r="B103" s="954"/>
      <c r="C103" s="951">
        <v>0</v>
      </c>
      <c r="D103" s="536"/>
      <c r="E103" s="536"/>
      <c r="F103" s="536"/>
      <c r="G103" s="536">
        <f t="shared" si="58"/>
        <v>0</v>
      </c>
      <c r="H103" s="539"/>
      <c r="I103" s="539"/>
      <c r="J103" s="539"/>
      <c r="K103" s="539"/>
      <c r="L103" s="539"/>
      <c r="M103" s="539"/>
      <c r="N103" s="539"/>
      <c r="O103" s="539"/>
    </row>
    <row r="104" spans="1:15">
      <c r="A104" s="535">
        <f t="shared" si="59"/>
        <v>81</v>
      </c>
      <c r="B104" s="954"/>
      <c r="C104" s="951">
        <v>0</v>
      </c>
      <c r="D104" s="536"/>
      <c r="E104" s="536"/>
      <c r="F104" s="536"/>
      <c r="G104" s="536">
        <f t="shared" si="58"/>
        <v>0</v>
      </c>
      <c r="H104" s="539"/>
      <c r="I104" s="539"/>
      <c r="J104" s="539"/>
      <c r="K104" s="539"/>
      <c r="L104" s="539"/>
      <c r="M104" s="539"/>
      <c r="N104" s="539"/>
      <c r="O104" s="539"/>
    </row>
    <row r="105" spans="1:15">
      <c r="A105" s="535">
        <f t="shared" si="59"/>
        <v>82</v>
      </c>
      <c r="B105" s="368" t="s">
        <v>13</v>
      </c>
      <c r="C105" s="536">
        <f>SUM(C87:C104)</f>
        <v>18140144.030000001</v>
      </c>
      <c r="D105" s="536">
        <f>SUM(D87:D104)</f>
        <v>4860050.7151482739</v>
      </c>
      <c r="E105" s="536">
        <f>SUM(E87:E104)</f>
        <v>9279239.8048517257</v>
      </c>
      <c r="F105" s="536">
        <f>SUM(F87:F104)</f>
        <v>4000853.51</v>
      </c>
      <c r="G105" s="536">
        <f t="shared" si="58"/>
        <v>18140144.030000001</v>
      </c>
      <c r="H105" s="536"/>
      <c r="I105" s="536"/>
      <c r="J105" s="536"/>
      <c r="K105" s="536"/>
      <c r="L105" s="536"/>
      <c r="M105" s="536"/>
      <c r="N105" s="536"/>
      <c r="O105" s="536"/>
    </row>
    <row r="106" spans="1:15">
      <c r="A106" s="535">
        <f t="shared" si="59"/>
        <v>83</v>
      </c>
      <c r="C106" s="537" t="s">
        <v>698</v>
      </c>
      <c r="D106" s="538">
        <f>Q81</f>
        <v>1</v>
      </c>
      <c r="E106" s="538">
        <f>R81</f>
        <v>0</v>
      </c>
      <c r="F106" s="538">
        <f>S81</f>
        <v>9.9526966285675506E-2</v>
      </c>
      <c r="G106" s="536"/>
    </row>
    <row r="107" spans="1:15">
      <c r="A107" s="535">
        <f t="shared" si="59"/>
        <v>84</v>
      </c>
      <c r="C107" s="537" t="s">
        <v>786</v>
      </c>
      <c r="D107" s="536">
        <f>D105*D106</f>
        <v>4860050.7151482739</v>
      </c>
      <c r="E107" s="536">
        <f t="shared" ref="E107" si="60">E105*E106</f>
        <v>0</v>
      </c>
      <c r="F107" s="536">
        <f t="shared" ref="F107" si="61">F105*F106</f>
        <v>398192.81240369647</v>
      </c>
      <c r="G107" s="536">
        <f>SUM(D107:F107)</f>
        <v>5258243.5275519704</v>
      </c>
    </row>
  </sheetData>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ignoredErrors>
    <ignoredError sqref="G95:G104" formulaRange="1"/>
    <ignoredError sqref="C43:O51" unlockedFormula="1"/>
    <ignoredError sqref="P5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89"/>
  <sheetViews>
    <sheetView view="pageBreakPreview" topLeftCell="A52" zoomScale="70" zoomScaleNormal="90" zoomScaleSheetLayoutView="70" workbookViewId="0">
      <selection activeCell="E87" sqref="E87"/>
    </sheetView>
  </sheetViews>
  <sheetFormatPr defaultColWidth="8.84375" defaultRowHeight="15.5"/>
  <cols>
    <col min="1" max="1" width="4.84375" style="16" customWidth="1"/>
    <col min="2" max="2" width="62" style="16" customWidth="1"/>
    <col min="3" max="3" width="15.3046875" style="16" customWidth="1"/>
    <col min="4" max="7" width="11.69140625" style="16" customWidth="1"/>
    <col min="8" max="8" width="11" style="16" bestFit="1" customWidth="1"/>
    <col min="9" max="9" width="8.84375" style="16"/>
    <col min="10" max="10" width="13.84375" style="16" bestFit="1" customWidth="1"/>
    <col min="11" max="11" width="12.4609375" style="16" bestFit="1" customWidth="1"/>
    <col min="12" max="16384" width="8.84375" style="16"/>
  </cols>
  <sheetData>
    <row r="1" spans="1:14" ht="17.5">
      <c r="A1" s="1139" t="str">
        <f>+'Attachment H-7'!D177</f>
        <v>PECO Energy Company</v>
      </c>
      <c r="B1" s="1139"/>
      <c r="C1" s="1139"/>
      <c r="D1" s="1139"/>
      <c r="E1" s="1139"/>
      <c r="F1" s="1139"/>
      <c r="G1" s="540"/>
      <c r="H1" s="16" t="s">
        <v>422</v>
      </c>
    </row>
    <row r="2" spans="1:14" ht="20">
      <c r="A2" s="541"/>
      <c r="B2" s="542"/>
      <c r="C2" s="543"/>
      <c r="D2" s="544"/>
      <c r="E2" s="540"/>
      <c r="F2" s="540"/>
      <c r="G2" s="540"/>
    </row>
    <row r="3" spans="1:14">
      <c r="A3" s="1140" t="s">
        <v>1172</v>
      </c>
      <c r="B3" s="1140"/>
      <c r="C3" s="1140"/>
      <c r="D3" s="1140"/>
      <c r="E3" s="1140"/>
      <c r="F3" s="1140"/>
      <c r="G3" s="540"/>
    </row>
    <row r="4" spans="1:14">
      <c r="B4" s="368" t="s">
        <v>198</v>
      </c>
      <c r="C4" s="368" t="s">
        <v>199</v>
      </c>
      <c r="D4" s="368" t="s">
        <v>200</v>
      </c>
      <c r="E4" s="368" t="s">
        <v>201</v>
      </c>
      <c r="F4" s="368" t="s">
        <v>203</v>
      </c>
      <c r="G4" s="368" t="s">
        <v>915</v>
      </c>
      <c r="H4" s="368" t="s">
        <v>919</v>
      </c>
      <c r="I4" s="368"/>
      <c r="J4" s="368"/>
      <c r="K4" s="368"/>
      <c r="L4" s="368"/>
      <c r="M4" s="368"/>
      <c r="N4" s="368"/>
    </row>
    <row r="5" spans="1:14">
      <c r="B5" s="545" t="s">
        <v>719</v>
      </c>
    </row>
    <row r="6" spans="1:14">
      <c r="B6" s="342" t="s">
        <v>718</v>
      </c>
      <c r="C6" s="955" t="s">
        <v>1624</v>
      </c>
      <c r="D6" s="955" t="s">
        <v>1625</v>
      </c>
      <c r="E6" s="955" t="s">
        <v>1765</v>
      </c>
      <c r="F6" s="956"/>
      <c r="G6" s="956"/>
      <c r="H6" s="546" t="s">
        <v>13</v>
      </c>
    </row>
    <row r="7" spans="1:14">
      <c r="A7" s="546">
        <v>1</v>
      </c>
      <c r="B7" s="957">
        <v>923</v>
      </c>
      <c r="C7" s="958">
        <v>0</v>
      </c>
      <c r="D7" s="958">
        <v>0</v>
      </c>
      <c r="E7" s="958">
        <v>7085243.5099999998</v>
      </c>
      <c r="F7" s="956"/>
      <c r="G7" s="956"/>
      <c r="H7" s="547">
        <f t="shared" ref="H7:H17" si="0">SUM(C7:G7)</f>
        <v>7085243.5099999998</v>
      </c>
      <c r="I7" s="546"/>
    </row>
    <row r="8" spans="1:14">
      <c r="A8" s="546">
        <f>A7+1</f>
        <v>2</v>
      </c>
      <c r="B8" s="957">
        <v>926</v>
      </c>
      <c r="C8" s="958">
        <v>0</v>
      </c>
      <c r="D8" s="958">
        <v>0</v>
      </c>
      <c r="E8" s="956"/>
      <c r="F8" s="956"/>
      <c r="G8" s="956"/>
      <c r="H8" s="547">
        <f t="shared" si="0"/>
        <v>0</v>
      </c>
      <c r="I8" s="546"/>
    </row>
    <row r="9" spans="1:14">
      <c r="A9" s="546">
        <f t="shared" ref="A9:A17" si="1">A8+1</f>
        <v>3</v>
      </c>
      <c r="B9" s="957">
        <v>920</v>
      </c>
      <c r="C9" s="957"/>
      <c r="D9" s="958">
        <v>0</v>
      </c>
      <c r="E9" s="956"/>
      <c r="F9" s="956"/>
      <c r="G9" s="956"/>
      <c r="H9" s="547">
        <f t="shared" si="0"/>
        <v>0</v>
      </c>
      <c r="I9" s="546"/>
    </row>
    <row r="10" spans="1:14">
      <c r="A10" s="546">
        <f t="shared" si="1"/>
        <v>4</v>
      </c>
      <c r="B10" s="957"/>
      <c r="C10" s="957"/>
      <c r="D10" s="957"/>
      <c r="E10" s="956"/>
      <c r="F10" s="956"/>
      <c r="G10" s="956"/>
      <c r="H10" s="547">
        <f t="shared" si="0"/>
        <v>0</v>
      </c>
      <c r="I10" s="546"/>
    </row>
    <row r="11" spans="1:14">
      <c r="A11" s="546">
        <f t="shared" si="1"/>
        <v>5</v>
      </c>
      <c r="B11" s="957"/>
      <c r="C11" s="957"/>
      <c r="D11" s="957"/>
      <c r="E11" s="956"/>
      <c r="F11" s="956"/>
      <c r="G11" s="956"/>
      <c r="H11" s="547">
        <f t="shared" si="0"/>
        <v>0</v>
      </c>
      <c r="I11" s="546"/>
    </row>
    <row r="12" spans="1:14">
      <c r="A12" s="546">
        <f t="shared" si="1"/>
        <v>6</v>
      </c>
      <c r="B12" s="957"/>
      <c r="C12" s="957"/>
      <c r="D12" s="957"/>
      <c r="E12" s="956"/>
      <c r="F12" s="956"/>
      <c r="G12" s="956"/>
      <c r="H12" s="547">
        <f t="shared" si="0"/>
        <v>0</v>
      </c>
      <c r="I12" s="546"/>
    </row>
    <row r="13" spans="1:14">
      <c r="A13" s="546">
        <f t="shared" si="1"/>
        <v>7</v>
      </c>
      <c r="B13" s="957"/>
      <c r="C13" s="957"/>
      <c r="D13" s="957"/>
      <c r="E13" s="956"/>
      <c r="F13" s="956"/>
      <c r="G13" s="956"/>
      <c r="H13" s="547">
        <f t="shared" si="0"/>
        <v>0</v>
      </c>
      <c r="I13" s="546"/>
    </row>
    <row r="14" spans="1:14">
      <c r="A14" s="546">
        <f t="shared" si="1"/>
        <v>8</v>
      </c>
      <c r="B14" s="957"/>
      <c r="C14" s="957"/>
      <c r="D14" s="957"/>
      <c r="E14" s="956"/>
      <c r="F14" s="956"/>
      <c r="G14" s="956"/>
      <c r="H14" s="547">
        <f t="shared" si="0"/>
        <v>0</v>
      </c>
      <c r="I14" s="546"/>
    </row>
    <row r="15" spans="1:14">
      <c r="A15" s="546">
        <f t="shared" si="1"/>
        <v>9</v>
      </c>
      <c r="B15" s="957"/>
      <c r="C15" s="957"/>
      <c r="D15" s="957"/>
      <c r="E15" s="956"/>
      <c r="F15" s="956"/>
      <c r="G15" s="956"/>
      <c r="H15" s="547">
        <f t="shared" si="0"/>
        <v>0</v>
      </c>
      <c r="I15" s="546"/>
    </row>
    <row r="16" spans="1:14">
      <c r="A16" s="546">
        <f t="shared" si="1"/>
        <v>10</v>
      </c>
      <c r="B16" s="957"/>
      <c r="C16" s="957"/>
      <c r="D16" s="957"/>
      <c r="E16" s="956"/>
      <c r="F16" s="956"/>
      <c r="G16" s="956"/>
      <c r="H16" s="547">
        <f t="shared" si="0"/>
        <v>0</v>
      </c>
      <c r="I16" s="546"/>
    </row>
    <row r="17" spans="1:10">
      <c r="A17" s="546">
        <f t="shared" si="1"/>
        <v>11</v>
      </c>
      <c r="B17" s="342" t="s">
        <v>13</v>
      </c>
      <c r="C17" s="547">
        <f>SUM(C7:C16)</f>
        <v>0</v>
      </c>
      <c r="D17" s="547">
        <f t="shared" ref="D17:E17" si="2">SUM(D7:D16)</f>
        <v>0</v>
      </c>
      <c r="E17" s="547">
        <f t="shared" si="2"/>
        <v>7085243.5099999998</v>
      </c>
      <c r="F17" s="547"/>
      <c r="G17" s="547"/>
      <c r="H17" s="547">
        <f t="shared" si="0"/>
        <v>7085243.5099999998</v>
      </c>
      <c r="I17" s="546"/>
    </row>
    <row r="18" spans="1:10">
      <c r="A18" s="368"/>
      <c r="B18" s="342"/>
      <c r="C18" s="547"/>
      <c r="D18" s="547"/>
      <c r="E18" s="547"/>
      <c r="F18" s="547"/>
      <c r="G18" s="547"/>
      <c r="H18" s="547"/>
      <c r="I18" s="546"/>
    </row>
    <row r="19" spans="1:10">
      <c r="A19" s="369"/>
      <c r="B19" s="545" t="s">
        <v>1063</v>
      </c>
      <c r="I19" s="546"/>
    </row>
    <row r="20" spans="1:10">
      <c r="B20" s="545" t="s">
        <v>775</v>
      </c>
      <c r="C20" s="342" t="str">
        <f>C6</f>
        <v>Constellation Merger</v>
      </c>
      <c r="D20" s="342" t="str">
        <f>D6</f>
        <v>PHI Merger</v>
      </c>
      <c r="E20" s="342" t="s">
        <v>1765</v>
      </c>
      <c r="F20" s="342"/>
      <c r="G20" s="342"/>
      <c r="H20" s="546" t="s">
        <v>13</v>
      </c>
    </row>
    <row r="21" spans="1:10">
      <c r="A21" s="546">
        <f>A17+1</f>
        <v>12</v>
      </c>
      <c r="B21" s="342" t="s">
        <v>195</v>
      </c>
      <c r="C21" s="959">
        <v>0</v>
      </c>
      <c r="D21" s="959">
        <v>0</v>
      </c>
      <c r="E21" s="959">
        <v>43415.196840000004</v>
      </c>
      <c r="F21" s="960"/>
      <c r="G21" s="960"/>
      <c r="H21" s="547">
        <f t="shared" ref="H21:H33" si="3">SUM(C21:G21)</f>
        <v>43415.196840000004</v>
      </c>
      <c r="J21" s="232"/>
    </row>
    <row r="22" spans="1:10">
      <c r="A22" s="546">
        <f>A21+1</f>
        <v>13</v>
      </c>
      <c r="B22" s="342" t="s">
        <v>84</v>
      </c>
      <c r="C22" s="959">
        <v>0</v>
      </c>
      <c r="D22" s="959">
        <v>0</v>
      </c>
      <c r="E22" s="959">
        <v>43415.196840000004</v>
      </c>
      <c r="F22" s="960"/>
      <c r="G22" s="960"/>
      <c r="H22" s="547">
        <f t="shared" si="3"/>
        <v>43415.196840000004</v>
      </c>
      <c r="J22" s="232"/>
    </row>
    <row r="23" spans="1:10">
      <c r="A23" s="546">
        <f t="shared" ref="A23:A34" si="4">A22+1</f>
        <v>14</v>
      </c>
      <c r="B23" s="342" t="s">
        <v>83</v>
      </c>
      <c r="C23" s="959">
        <v>0</v>
      </c>
      <c r="D23" s="959">
        <v>0</v>
      </c>
      <c r="E23" s="959">
        <v>469160.58674000006</v>
      </c>
      <c r="F23" s="960"/>
      <c r="G23" s="960"/>
      <c r="H23" s="547">
        <f t="shared" si="3"/>
        <v>469160.58674000006</v>
      </c>
      <c r="J23" s="232"/>
    </row>
    <row r="24" spans="1:10">
      <c r="A24" s="546">
        <f t="shared" si="4"/>
        <v>15</v>
      </c>
      <c r="B24" s="342" t="s">
        <v>171</v>
      </c>
      <c r="C24" s="959">
        <v>0</v>
      </c>
      <c r="D24" s="959">
        <v>0</v>
      </c>
      <c r="E24" s="959">
        <v>489403.40029999998</v>
      </c>
      <c r="F24" s="960"/>
      <c r="G24" s="960"/>
      <c r="H24" s="547">
        <f t="shared" si="3"/>
        <v>489403.40029999998</v>
      </c>
      <c r="J24" s="232"/>
    </row>
    <row r="25" spans="1:10">
      <c r="A25" s="546">
        <f t="shared" si="4"/>
        <v>16</v>
      </c>
      <c r="B25" s="342" t="s">
        <v>74</v>
      </c>
      <c r="C25" s="959">
        <v>0</v>
      </c>
      <c r="D25" s="959">
        <v>0</v>
      </c>
      <c r="E25" s="959">
        <v>489403.40029999998</v>
      </c>
      <c r="F25" s="960"/>
      <c r="G25" s="960"/>
      <c r="H25" s="547">
        <f t="shared" si="3"/>
        <v>489403.40029999998</v>
      </c>
      <c r="J25" s="232"/>
    </row>
    <row r="26" spans="1:10">
      <c r="A26" s="546">
        <f t="shared" si="4"/>
        <v>17</v>
      </c>
      <c r="B26" s="342" t="s">
        <v>73</v>
      </c>
      <c r="C26" s="959">
        <v>0</v>
      </c>
      <c r="D26" s="959">
        <v>0</v>
      </c>
      <c r="E26" s="959">
        <v>489403.40029999998</v>
      </c>
      <c r="F26" s="960"/>
      <c r="G26" s="960"/>
      <c r="H26" s="547">
        <f t="shared" si="3"/>
        <v>489403.40029999998</v>
      </c>
      <c r="J26" s="232"/>
    </row>
    <row r="27" spans="1:10">
      <c r="A27" s="546">
        <f t="shared" si="4"/>
        <v>18</v>
      </c>
      <c r="B27" s="342" t="s">
        <v>93</v>
      </c>
      <c r="C27" s="959">
        <v>0</v>
      </c>
      <c r="D27" s="959">
        <v>0</v>
      </c>
      <c r="E27" s="959">
        <v>489403.40029999998</v>
      </c>
      <c r="F27" s="960"/>
      <c r="G27" s="960"/>
      <c r="H27" s="547">
        <f t="shared" si="3"/>
        <v>489403.40029999998</v>
      </c>
      <c r="J27" s="232"/>
    </row>
    <row r="28" spans="1:10">
      <c r="A28" s="546">
        <f t="shared" si="4"/>
        <v>19</v>
      </c>
      <c r="B28" s="342" t="s">
        <v>81</v>
      </c>
      <c r="C28" s="959">
        <v>0</v>
      </c>
      <c r="D28" s="959">
        <v>0</v>
      </c>
      <c r="E28" s="959">
        <v>489403.40029999998</v>
      </c>
      <c r="F28" s="960"/>
      <c r="G28" s="960"/>
      <c r="H28" s="547">
        <f t="shared" si="3"/>
        <v>489403.40029999998</v>
      </c>
      <c r="J28" s="232"/>
    </row>
    <row r="29" spans="1:10">
      <c r="A29" s="546">
        <f t="shared" si="4"/>
        <v>20</v>
      </c>
      <c r="B29" s="342" t="s">
        <v>172</v>
      </c>
      <c r="C29" s="959">
        <v>0</v>
      </c>
      <c r="D29" s="959">
        <v>0</v>
      </c>
      <c r="E29" s="959">
        <v>489403.40029999998</v>
      </c>
      <c r="F29" s="960"/>
      <c r="G29" s="960"/>
      <c r="H29" s="547">
        <f t="shared" si="3"/>
        <v>489403.40029999998</v>
      </c>
      <c r="J29" s="232"/>
    </row>
    <row r="30" spans="1:10">
      <c r="A30" s="546">
        <f t="shared" si="4"/>
        <v>21</v>
      </c>
      <c r="B30" s="342" t="s">
        <v>79</v>
      </c>
      <c r="C30" s="959">
        <v>0</v>
      </c>
      <c r="D30" s="959">
        <v>0</v>
      </c>
      <c r="E30" s="959">
        <v>489403.40029999998</v>
      </c>
      <c r="F30" s="960"/>
      <c r="G30" s="960"/>
      <c r="H30" s="547">
        <f t="shared" si="3"/>
        <v>489403.40029999998</v>
      </c>
      <c r="J30" s="232"/>
    </row>
    <row r="31" spans="1:10">
      <c r="A31" s="546">
        <f t="shared" si="4"/>
        <v>22</v>
      </c>
      <c r="B31" s="342" t="s">
        <v>85</v>
      </c>
      <c r="C31" s="959">
        <v>0</v>
      </c>
      <c r="D31" s="959">
        <v>0</v>
      </c>
      <c r="E31" s="959">
        <v>536369.89454999997</v>
      </c>
      <c r="F31" s="960"/>
      <c r="G31" s="960"/>
      <c r="H31" s="547">
        <f t="shared" si="3"/>
        <v>536369.89454999997</v>
      </c>
      <c r="J31" s="232"/>
    </row>
    <row r="32" spans="1:10">
      <c r="A32" s="546">
        <f t="shared" si="4"/>
        <v>23</v>
      </c>
      <c r="B32" s="342" t="s">
        <v>78</v>
      </c>
      <c r="C32" s="959">
        <v>0</v>
      </c>
      <c r="D32" s="959">
        <v>0</v>
      </c>
      <c r="E32" s="959">
        <v>536369.89454999997</v>
      </c>
      <c r="F32" s="960"/>
      <c r="G32" s="960"/>
      <c r="H32" s="547">
        <f t="shared" si="3"/>
        <v>536369.89454999997</v>
      </c>
      <c r="J32" s="232"/>
    </row>
    <row r="33" spans="1:10">
      <c r="A33" s="546">
        <f t="shared" si="4"/>
        <v>24</v>
      </c>
      <c r="B33" s="342" t="s">
        <v>196</v>
      </c>
      <c r="C33" s="959">
        <v>0</v>
      </c>
      <c r="D33" s="959">
        <v>0</v>
      </c>
      <c r="E33" s="959">
        <v>536369.89454999997</v>
      </c>
      <c r="F33" s="960"/>
      <c r="G33" s="960"/>
      <c r="H33" s="547">
        <f t="shared" si="3"/>
        <v>536369.89454999997</v>
      </c>
      <c r="J33" s="232"/>
    </row>
    <row r="34" spans="1:10">
      <c r="A34" s="546">
        <f t="shared" si="4"/>
        <v>25</v>
      </c>
      <c r="B34" s="342" t="s">
        <v>481</v>
      </c>
      <c r="C34" s="548">
        <f>AVERAGE(C21:C33)</f>
        <v>0</v>
      </c>
      <c r="D34" s="548">
        <f>AVERAGE(D21:D33)</f>
        <v>0</v>
      </c>
      <c r="E34" s="548">
        <f>AVERAGE(E21:E33)</f>
        <v>430071.11278230767</v>
      </c>
      <c r="F34" s="548"/>
      <c r="G34" s="548"/>
      <c r="H34" s="548">
        <f>AVERAGE(H21:H33)</f>
        <v>430071.11278230767</v>
      </c>
      <c r="J34" s="232"/>
    </row>
    <row r="35" spans="1:10">
      <c r="A35" s="546"/>
      <c r="B35" s="342"/>
      <c r="C35" s="548"/>
      <c r="D35" s="548"/>
      <c r="E35" s="548"/>
      <c r="F35" s="548"/>
      <c r="J35" s="232"/>
    </row>
    <row r="36" spans="1:10">
      <c r="J36" s="232"/>
    </row>
    <row r="37" spans="1:10">
      <c r="B37" s="545" t="s">
        <v>208</v>
      </c>
      <c r="C37" s="342" t="str">
        <f>C20</f>
        <v>Constellation Merger</v>
      </c>
      <c r="D37" s="342" t="str">
        <f>D20</f>
        <v>PHI Merger</v>
      </c>
      <c r="E37" s="342" t="s">
        <v>1765</v>
      </c>
      <c r="F37" s="342"/>
      <c r="G37" s="342"/>
      <c r="H37" s="546" t="s">
        <v>13</v>
      </c>
      <c r="J37" s="232"/>
    </row>
    <row r="38" spans="1:10">
      <c r="A38" s="546">
        <f>A34+1</f>
        <v>26</v>
      </c>
      <c r="B38" s="342" t="s">
        <v>195</v>
      </c>
      <c r="C38" s="959">
        <v>0</v>
      </c>
      <c r="D38" s="959">
        <v>0</v>
      </c>
      <c r="E38" s="959">
        <v>5145.5287000000008</v>
      </c>
      <c r="F38" s="960"/>
      <c r="G38" s="960"/>
      <c r="H38" s="547">
        <f t="shared" ref="H38:H50" si="5">SUM(C38:G38)</f>
        <v>5145.5287000000008</v>
      </c>
      <c r="J38" s="232"/>
    </row>
    <row r="39" spans="1:10">
      <c r="A39" s="546">
        <f>A38+1</f>
        <v>27</v>
      </c>
      <c r="B39" s="342" t="s">
        <v>84</v>
      </c>
      <c r="C39" s="959">
        <v>0</v>
      </c>
      <c r="D39" s="959">
        <v>0</v>
      </c>
      <c r="E39" s="959">
        <v>5983.32762</v>
      </c>
      <c r="F39" s="960"/>
      <c r="G39" s="960"/>
      <c r="H39" s="547">
        <f t="shared" si="5"/>
        <v>5983.32762</v>
      </c>
      <c r="J39" s="232"/>
    </row>
    <row r="40" spans="1:10">
      <c r="A40" s="546">
        <f t="shared" ref="A40:A51" si="6">A39+1</f>
        <v>28</v>
      </c>
      <c r="B40" s="342" t="s">
        <v>83</v>
      </c>
      <c r="C40" s="959">
        <v>0</v>
      </c>
      <c r="D40" s="959">
        <v>0</v>
      </c>
      <c r="E40" s="959">
        <v>12783.49127</v>
      </c>
      <c r="F40" s="960"/>
      <c r="G40" s="960"/>
      <c r="H40" s="547">
        <f t="shared" si="5"/>
        <v>12783.49127</v>
      </c>
      <c r="J40" s="232"/>
    </row>
    <row r="41" spans="1:10">
      <c r="A41" s="546">
        <f t="shared" si="6"/>
        <v>29</v>
      </c>
      <c r="B41" s="342" t="s">
        <v>171</v>
      </c>
      <c r="C41" s="959">
        <v>0</v>
      </c>
      <c r="D41" s="959">
        <v>0</v>
      </c>
      <c r="E41" s="959">
        <v>19331.570519999997</v>
      </c>
      <c r="F41" s="960"/>
      <c r="G41" s="960"/>
      <c r="H41" s="547">
        <f t="shared" si="5"/>
        <v>19331.570519999997</v>
      </c>
      <c r="J41" s="232"/>
    </row>
    <row r="42" spans="1:10">
      <c r="A42" s="546">
        <f t="shared" si="6"/>
        <v>30</v>
      </c>
      <c r="B42" s="342" t="s">
        <v>74</v>
      </c>
      <c r="C42" s="959">
        <v>0</v>
      </c>
      <c r="D42" s="959">
        <v>0</v>
      </c>
      <c r="E42" s="959">
        <v>34368.098502310604</v>
      </c>
      <c r="F42" s="960"/>
      <c r="G42" s="960"/>
      <c r="H42" s="547">
        <f t="shared" si="5"/>
        <v>34368.098502310604</v>
      </c>
      <c r="J42" s="232"/>
    </row>
    <row r="43" spans="1:10">
      <c r="A43" s="546">
        <f t="shared" si="6"/>
        <v>31</v>
      </c>
      <c r="B43" s="342" t="s">
        <v>73</v>
      </c>
      <c r="C43" s="959">
        <v>0</v>
      </c>
      <c r="D43" s="959">
        <v>0</v>
      </c>
      <c r="E43" s="959">
        <v>48906.16067332073</v>
      </c>
      <c r="F43" s="960"/>
      <c r="G43" s="960"/>
      <c r="H43" s="547">
        <f t="shared" si="5"/>
        <v>48906.16067332073</v>
      </c>
      <c r="J43" s="232"/>
    </row>
    <row r="44" spans="1:10">
      <c r="A44" s="546">
        <f t="shared" si="6"/>
        <v>32</v>
      </c>
      <c r="B44" s="342" t="s">
        <v>93</v>
      </c>
      <c r="C44" s="959">
        <v>0</v>
      </c>
      <c r="D44" s="959">
        <v>0</v>
      </c>
      <c r="E44" s="959">
        <v>62962.812414613378</v>
      </c>
      <c r="F44" s="960"/>
      <c r="G44" s="960"/>
      <c r="H44" s="547">
        <f t="shared" si="5"/>
        <v>62962.812414613378</v>
      </c>
      <c r="J44" s="232"/>
    </row>
    <row r="45" spans="1:10">
      <c r="A45" s="546">
        <f t="shared" si="6"/>
        <v>33</v>
      </c>
      <c r="B45" s="342" t="s">
        <v>81</v>
      </c>
      <c r="C45" s="959">
        <v>0</v>
      </c>
      <c r="D45" s="959">
        <v>0</v>
      </c>
      <c r="E45" s="959">
        <v>76554.525545099154</v>
      </c>
      <c r="F45" s="960"/>
      <c r="G45" s="960"/>
      <c r="H45" s="547">
        <f t="shared" si="5"/>
        <v>76554.525545099154</v>
      </c>
      <c r="J45" s="232"/>
    </row>
    <row r="46" spans="1:10">
      <c r="A46" s="546">
        <f t="shared" si="6"/>
        <v>34</v>
      </c>
      <c r="B46" s="342" t="s">
        <v>172</v>
      </c>
      <c r="C46" s="959">
        <v>0</v>
      </c>
      <c r="D46" s="959">
        <v>0</v>
      </c>
      <c r="E46" s="959">
        <v>89697.208288050766</v>
      </c>
      <c r="F46" s="960"/>
      <c r="G46" s="960"/>
      <c r="H46" s="547">
        <f t="shared" si="5"/>
        <v>89697.208288050766</v>
      </c>
      <c r="J46" s="232"/>
    </row>
    <row r="47" spans="1:10">
      <c r="A47" s="546">
        <f t="shared" si="6"/>
        <v>35</v>
      </c>
      <c r="B47" s="342" t="s">
        <v>79</v>
      </c>
      <c r="C47" s="959">
        <v>0</v>
      </c>
      <c r="D47" s="959">
        <v>0</v>
      </c>
      <c r="E47" s="959">
        <v>102481.76417486779</v>
      </c>
      <c r="F47" s="960"/>
      <c r="G47" s="960"/>
      <c r="H47" s="547">
        <f t="shared" si="5"/>
        <v>102481.76417486779</v>
      </c>
      <c r="J47" s="232"/>
    </row>
    <row r="48" spans="1:10">
      <c r="A48" s="546">
        <f t="shared" si="6"/>
        <v>36</v>
      </c>
      <c r="B48" s="342" t="s">
        <v>85</v>
      </c>
      <c r="C48" s="959">
        <v>0</v>
      </c>
      <c r="D48" s="959">
        <v>0</v>
      </c>
      <c r="E48" s="959">
        <v>114922.7884375766</v>
      </c>
      <c r="F48" s="960"/>
      <c r="G48" s="960"/>
      <c r="H48" s="547">
        <f t="shared" si="5"/>
        <v>114922.7884375766</v>
      </c>
      <c r="J48" s="232"/>
    </row>
    <row r="49" spans="1:10">
      <c r="A49" s="546">
        <f t="shared" si="6"/>
        <v>37</v>
      </c>
      <c r="B49" s="342" t="s">
        <v>78</v>
      </c>
      <c r="C49" s="959">
        <v>0</v>
      </c>
      <c r="D49" s="959">
        <v>0</v>
      </c>
      <c r="E49" s="959">
        <v>126958.82976897518</v>
      </c>
      <c r="F49" s="960"/>
      <c r="G49" s="960"/>
      <c r="H49" s="547">
        <f t="shared" si="5"/>
        <v>126958.82976897518</v>
      </c>
      <c r="J49" s="232"/>
    </row>
    <row r="50" spans="1:10">
      <c r="A50" s="546">
        <f t="shared" si="6"/>
        <v>38</v>
      </c>
      <c r="B50" s="342" t="s">
        <v>196</v>
      </c>
      <c r="C50" s="959">
        <v>0</v>
      </c>
      <c r="D50" s="959">
        <v>0</v>
      </c>
      <c r="E50" s="959">
        <v>138603.72992302373</v>
      </c>
      <c r="F50" s="960"/>
      <c r="G50" s="960"/>
      <c r="H50" s="547">
        <f t="shared" si="5"/>
        <v>138603.72992302373</v>
      </c>
      <c r="J50" s="232"/>
    </row>
    <row r="51" spans="1:10">
      <c r="A51" s="546">
        <f t="shared" si="6"/>
        <v>39</v>
      </c>
      <c r="B51" s="342" t="s">
        <v>481</v>
      </c>
      <c r="C51" s="548">
        <f>AVERAGE(C38:C50)</f>
        <v>0</v>
      </c>
      <c r="D51" s="548">
        <f>AVERAGE(D38:D50)</f>
        <v>0</v>
      </c>
      <c r="E51" s="548">
        <f>AVERAGE(E38:E50)</f>
        <v>64515.371987525992</v>
      </c>
      <c r="F51" s="548"/>
      <c r="G51" s="548"/>
      <c r="H51" s="548">
        <f>AVERAGE(H38:H50)</f>
        <v>64515.371987525992</v>
      </c>
      <c r="J51" s="232"/>
    </row>
    <row r="52" spans="1:10" ht="17.5">
      <c r="B52" s="1139" t="str">
        <f>+'Attachment H-7'!D177</f>
        <v>PECO Energy Company</v>
      </c>
      <c r="C52" s="1139"/>
      <c r="D52" s="1139"/>
      <c r="E52" s="1139"/>
      <c r="F52" s="1139"/>
      <c r="G52" s="1139"/>
    </row>
    <row r="53" spans="1:10" ht="20">
      <c r="A53" s="541"/>
      <c r="B53" s="542"/>
      <c r="C53" s="543"/>
      <c r="D53" s="544"/>
      <c r="E53" s="540"/>
      <c r="F53" s="540"/>
      <c r="G53" s="540"/>
      <c r="H53" s="16" t="s">
        <v>154</v>
      </c>
    </row>
    <row r="54" spans="1:10">
      <c r="A54" s="1140" t="str">
        <f>+A3</f>
        <v>Attachment 4E - Cost to Achieve Mergers (Note A)</v>
      </c>
      <c r="B54" s="1140"/>
      <c r="C54" s="1140"/>
      <c r="D54" s="1140"/>
      <c r="E54" s="1140"/>
      <c r="F54" s="1140"/>
      <c r="G54" s="540"/>
    </row>
    <row r="55" spans="1:10">
      <c r="B55" s="368" t="s">
        <v>198</v>
      </c>
      <c r="C55" s="368" t="s">
        <v>199</v>
      </c>
      <c r="D55" s="368" t="s">
        <v>200</v>
      </c>
      <c r="E55" s="368" t="s">
        <v>201</v>
      </c>
      <c r="F55" s="368" t="s">
        <v>203</v>
      </c>
      <c r="G55" s="368" t="s">
        <v>915</v>
      </c>
      <c r="H55" s="368" t="s">
        <v>919</v>
      </c>
    </row>
    <row r="56" spans="1:10">
      <c r="A56" s="540"/>
      <c r="B56" s="545" t="s">
        <v>920</v>
      </c>
      <c r="C56" s="342" t="str">
        <f>C37</f>
        <v>Constellation Merger</v>
      </c>
      <c r="D56" s="342" t="str">
        <f t="shared" ref="D56" si="7">D37</f>
        <v>PHI Merger</v>
      </c>
      <c r="E56" s="342"/>
      <c r="F56" s="342"/>
      <c r="G56" s="342"/>
      <c r="H56" s="546" t="s">
        <v>13</v>
      </c>
    </row>
    <row r="57" spans="1:10">
      <c r="A57" s="546">
        <f>A51+1</f>
        <v>40</v>
      </c>
      <c r="B57" s="342" t="s">
        <v>195</v>
      </c>
      <c r="C57" s="548">
        <f t="shared" ref="C57:D69" si="8">C21-C38</f>
        <v>0</v>
      </c>
      <c r="D57" s="548">
        <f t="shared" si="8"/>
        <v>0</v>
      </c>
      <c r="E57" s="548">
        <f t="shared" ref="E57:G57" si="9">E21-E38</f>
        <v>38269.668140000002</v>
      </c>
      <c r="F57" s="548">
        <f t="shared" si="9"/>
        <v>0</v>
      </c>
      <c r="G57" s="548">
        <f t="shared" si="9"/>
        <v>0</v>
      </c>
      <c r="H57" s="547">
        <f t="shared" ref="H57:H69" si="10">SUM(C57:G57)</f>
        <v>38269.668140000002</v>
      </c>
    </row>
    <row r="58" spans="1:10">
      <c r="A58" s="546">
        <f>A57+1</f>
        <v>41</v>
      </c>
      <c r="B58" s="342" t="s">
        <v>84</v>
      </c>
      <c r="C58" s="548">
        <f t="shared" si="8"/>
        <v>0</v>
      </c>
      <c r="D58" s="548">
        <f t="shared" si="8"/>
        <v>0</v>
      </c>
      <c r="E58" s="548">
        <f t="shared" ref="E58:G58" si="11">E22-E39</f>
        <v>37431.869220000008</v>
      </c>
      <c r="F58" s="548">
        <f t="shared" si="11"/>
        <v>0</v>
      </c>
      <c r="G58" s="548">
        <f t="shared" si="11"/>
        <v>0</v>
      </c>
      <c r="H58" s="547">
        <f t="shared" si="10"/>
        <v>37431.869220000008</v>
      </c>
    </row>
    <row r="59" spans="1:10">
      <c r="A59" s="546">
        <f t="shared" ref="A59:A70" si="12">A58+1</f>
        <v>42</v>
      </c>
      <c r="B59" s="342" t="s">
        <v>83</v>
      </c>
      <c r="C59" s="548">
        <f t="shared" si="8"/>
        <v>0</v>
      </c>
      <c r="D59" s="548">
        <f t="shared" si="8"/>
        <v>0</v>
      </c>
      <c r="E59" s="548">
        <f t="shared" ref="E59:G59" si="13">E23-E40</f>
        <v>456377.09547000006</v>
      </c>
      <c r="F59" s="548">
        <f t="shared" si="13"/>
        <v>0</v>
      </c>
      <c r="G59" s="548">
        <f t="shared" si="13"/>
        <v>0</v>
      </c>
      <c r="H59" s="547">
        <f t="shared" si="10"/>
        <v>456377.09547000006</v>
      </c>
    </row>
    <row r="60" spans="1:10">
      <c r="A60" s="546">
        <f t="shared" si="12"/>
        <v>43</v>
      </c>
      <c r="B60" s="342" t="s">
        <v>171</v>
      </c>
      <c r="C60" s="548">
        <f t="shared" si="8"/>
        <v>0</v>
      </c>
      <c r="D60" s="548">
        <f t="shared" si="8"/>
        <v>0</v>
      </c>
      <c r="E60" s="548">
        <f t="shared" ref="E60:G60" si="14">E24-E41</f>
        <v>470071.82977999997</v>
      </c>
      <c r="F60" s="548">
        <f t="shared" si="14"/>
        <v>0</v>
      </c>
      <c r="G60" s="548">
        <f t="shared" si="14"/>
        <v>0</v>
      </c>
      <c r="H60" s="547">
        <f t="shared" si="10"/>
        <v>470071.82977999997</v>
      </c>
    </row>
    <row r="61" spans="1:10">
      <c r="A61" s="546">
        <f t="shared" si="12"/>
        <v>44</v>
      </c>
      <c r="B61" s="342" t="s">
        <v>74</v>
      </c>
      <c r="C61" s="548">
        <f t="shared" si="8"/>
        <v>0</v>
      </c>
      <c r="D61" s="548">
        <f t="shared" si="8"/>
        <v>0</v>
      </c>
      <c r="E61" s="548">
        <f t="shared" ref="E61:G61" si="15">E25-E42</f>
        <v>455035.3017976894</v>
      </c>
      <c r="F61" s="548">
        <f t="shared" si="15"/>
        <v>0</v>
      </c>
      <c r="G61" s="548">
        <f t="shared" si="15"/>
        <v>0</v>
      </c>
      <c r="H61" s="547">
        <f t="shared" si="10"/>
        <v>455035.3017976894</v>
      </c>
    </row>
    <row r="62" spans="1:10">
      <c r="A62" s="546">
        <f t="shared" si="12"/>
        <v>45</v>
      </c>
      <c r="B62" s="342" t="s">
        <v>73</v>
      </c>
      <c r="C62" s="548">
        <f t="shared" si="8"/>
        <v>0</v>
      </c>
      <c r="D62" s="548">
        <f t="shared" si="8"/>
        <v>0</v>
      </c>
      <c r="E62" s="548">
        <f t="shared" ref="E62:G62" si="16">E26-E43</f>
        <v>440497.23962667922</v>
      </c>
      <c r="F62" s="548">
        <f t="shared" si="16"/>
        <v>0</v>
      </c>
      <c r="G62" s="548">
        <f t="shared" si="16"/>
        <v>0</v>
      </c>
      <c r="H62" s="547">
        <f t="shared" si="10"/>
        <v>440497.23962667922</v>
      </c>
    </row>
    <row r="63" spans="1:10">
      <c r="A63" s="546">
        <f t="shared" si="12"/>
        <v>46</v>
      </c>
      <c r="B63" s="342" t="s">
        <v>93</v>
      </c>
      <c r="C63" s="548">
        <f t="shared" si="8"/>
        <v>0</v>
      </c>
      <c r="D63" s="548">
        <f t="shared" si="8"/>
        <v>0</v>
      </c>
      <c r="E63" s="548">
        <f t="shared" ref="E63:G63" si="17">E27-E44</f>
        <v>426440.5878853866</v>
      </c>
      <c r="F63" s="548">
        <f t="shared" si="17"/>
        <v>0</v>
      </c>
      <c r="G63" s="548">
        <f t="shared" si="17"/>
        <v>0</v>
      </c>
      <c r="H63" s="547">
        <f t="shared" si="10"/>
        <v>426440.5878853866</v>
      </c>
    </row>
    <row r="64" spans="1:10">
      <c r="A64" s="546">
        <f t="shared" si="12"/>
        <v>47</v>
      </c>
      <c r="B64" s="342" t="s">
        <v>81</v>
      </c>
      <c r="C64" s="548">
        <f t="shared" si="8"/>
        <v>0</v>
      </c>
      <c r="D64" s="548">
        <f t="shared" si="8"/>
        <v>0</v>
      </c>
      <c r="E64" s="548">
        <f t="shared" ref="E64:G64" si="18">E28-E45</f>
        <v>412848.87475490081</v>
      </c>
      <c r="F64" s="548">
        <f t="shared" si="18"/>
        <v>0</v>
      </c>
      <c r="G64" s="548">
        <f t="shared" si="18"/>
        <v>0</v>
      </c>
      <c r="H64" s="547">
        <f t="shared" si="10"/>
        <v>412848.87475490081</v>
      </c>
    </row>
    <row r="65" spans="1:8">
      <c r="A65" s="546">
        <f t="shared" si="12"/>
        <v>48</v>
      </c>
      <c r="B65" s="342" t="s">
        <v>172</v>
      </c>
      <c r="C65" s="548">
        <f t="shared" si="8"/>
        <v>0</v>
      </c>
      <c r="D65" s="548">
        <f t="shared" si="8"/>
        <v>0</v>
      </c>
      <c r="E65" s="548">
        <f t="shared" ref="E65:G65" si="19">E29-E46</f>
        <v>399706.1920119492</v>
      </c>
      <c r="F65" s="548">
        <f t="shared" si="19"/>
        <v>0</v>
      </c>
      <c r="G65" s="548">
        <f t="shared" si="19"/>
        <v>0</v>
      </c>
      <c r="H65" s="547">
        <f t="shared" si="10"/>
        <v>399706.1920119492</v>
      </c>
    </row>
    <row r="66" spans="1:8">
      <c r="A66" s="546">
        <f t="shared" si="12"/>
        <v>49</v>
      </c>
      <c r="B66" s="342" t="s">
        <v>79</v>
      </c>
      <c r="C66" s="548">
        <f t="shared" si="8"/>
        <v>0</v>
      </c>
      <c r="D66" s="548">
        <f t="shared" si="8"/>
        <v>0</v>
      </c>
      <c r="E66" s="548">
        <f t="shared" ref="E66:G66" si="20">E30-E47</f>
        <v>386921.63612513221</v>
      </c>
      <c r="F66" s="548">
        <f t="shared" si="20"/>
        <v>0</v>
      </c>
      <c r="G66" s="548">
        <f t="shared" si="20"/>
        <v>0</v>
      </c>
      <c r="H66" s="547">
        <f t="shared" si="10"/>
        <v>386921.63612513221</v>
      </c>
    </row>
    <row r="67" spans="1:8">
      <c r="A67" s="546">
        <f t="shared" si="12"/>
        <v>50</v>
      </c>
      <c r="B67" s="342" t="s">
        <v>85</v>
      </c>
      <c r="C67" s="548">
        <f t="shared" si="8"/>
        <v>0</v>
      </c>
      <c r="D67" s="548">
        <f t="shared" si="8"/>
        <v>0</v>
      </c>
      <c r="E67" s="548">
        <f t="shared" ref="E67:G67" si="21">E31-E48</f>
        <v>421447.10611242335</v>
      </c>
      <c r="F67" s="548">
        <f t="shared" si="21"/>
        <v>0</v>
      </c>
      <c r="G67" s="548">
        <f t="shared" si="21"/>
        <v>0</v>
      </c>
      <c r="H67" s="547">
        <f t="shared" si="10"/>
        <v>421447.10611242335</v>
      </c>
    </row>
    <row r="68" spans="1:8">
      <c r="A68" s="546">
        <f t="shared" si="12"/>
        <v>51</v>
      </c>
      <c r="B68" s="342" t="s">
        <v>78</v>
      </c>
      <c r="C68" s="548">
        <f t="shared" si="8"/>
        <v>0</v>
      </c>
      <c r="D68" s="548">
        <f t="shared" si="8"/>
        <v>0</v>
      </c>
      <c r="E68" s="548">
        <f t="shared" ref="E68:G68" si="22">E32-E49</f>
        <v>409411.06478102482</v>
      </c>
      <c r="F68" s="548">
        <f t="shared" si="22"/>
        <v>0</v>
      </c>
      <c r="G68" s="548">
        <f t="shared" si="22"/>
        <v>0</v>
      </c>
      <c r="H68" s="547">
        <f t="shared" si="10"/>
        <v>409411.06478102482</v>
      </c>
    </row>
    <row r="69" spans="1:8">
      <c r="A69" s="546">
        <f t="shared" si="12"/>
        <v>52</v>
      </c>
      <c r="B69" s="342" t="s">
        <v>196</v>
      </c>
      <c r="C69" s="548">
        <f t="shared" si="8"/>
        <v>0</v>
      </c>
      <c r="D69" s="548">
        <f t="shared" si="8"/>
        <v>0</v>
      </c>
      <c r="E69" s="548">
        <f t="shared" ref="E69:G69" si="23">E33-E50</f>
        <v>397766.16462697624</v>
      </c>
      <c r="F69" s="548">
        <f t="shared" si="23"/>
        <v>0</v>
      </c>
      <c r="G69" s="548">
        <f t="shared" si="23"/>
        <v>0</v>
      </c>
      <c r="H69" s="547">
        <f t="shared" si="10"/>
        <v>397766.16462697624</v>
      </c>
    </row>
    <row r="70" spans="1:8">
      <c r="A70" s="546">
        <f t="shared" si="12"/>
        <v>53</v>
      </c>
      <c r="B70" s="342" t="s">
        <v>481</v>
      </c>
      <c r="C70" s="548">
        <f>C34-C51</f>
        <v>0</v>
      </c>
      <c r="D70" s="548">
        <f>AVERAGE(D57:D69)</f>
        <v>0</v>
      </c>
      <c r="E70" s="548">
        <f t="shared" ref="E70:G70" si="24">AVERAGE(E57:E69)</f>
        <v>365555.74079478171</v>
      </c>
      <c r="F70" s="548">
        <f t="shared" si="24"/>
        <v>0</v>
      </c>
      <c r="G70" s="548">
        <f t="shared" si="24"/>
        <v>0</v>
      </c>
      <c r="H70" s="548">
        <f>AVERAGE(H57:H69)</f>
        <v>365555.74079478171</v>
      </c>
    </row>
    <row r="71" spans="1:8">
      <c r="A71" s="540"/>
    </row>
    <row r="72" spans="1:8">
      <c r="A72" s="540"/>
    </row>
    <row r="73" spans="1:8">
      <c r="A73" s="540"/>
      <c r="B73" s="545" t="s">
        <v>916</v>
      </c>
      <c r="C73" s="342" t="str">
        <f>C56</f>
        <v>Constellation Merger</v>
      </c>
      <c r="D73" s="342" t="str">
        <f>D56</f>
        <v>PHI Merger</v>
      </c>
      <c r="E73" s="16" t="s">
        <v>1765</v>
      </c>
      <c r="H73" s="546" t="s">
        <v>13</v>
      </c>
    </row>
    <row r="74" spans="1:8">
      <c r="A74" s="546">
        <f>A70+1</f>
        <v>54</v>
      </c>
      <c r="B74" s="342" t="s">
        <v>84</v>
      </c>
      <c r="C74" s="548">
        <f>C39-C38</f>
        <v>0</v>
      </c>
      <c r="D74" s="548">
        <f>D39-D38</f>
        <v>0</v>
      </c>
      <c r="E74" s="548">
        <f>E39-E38</f>
        <v>837.79891999999927</v>
      </c>
      <c r="H74" s="547">
        <f t="shared" ref="H74:H86" si="25">SUM(C74:G74)</f>
        <v>837.79891999999927</v>
      </c>
    </row>
    <row r="75" spans="1:8">
      <c r="A75" s="546">
        <f t="shared" ref="A75:A86" si="26">A74+1</f>
        <v>55</v>
      </c>
      <c r="B75" s="342" t="s">
        <v>83</v>
      </c>
      <c r="C75" s="548">
        <f>C40-C39</f>
        <v>0</v>
      </c>
      <c r="D75" s="548">
        <f>D40-D39</f>
        <v>0</v>
      </c>
      <c r="E75" s="548">
        <f t="shared" ref="E75:E85" si="27">E40-E39</f>
        <v>6800.1636500000004</v>
      </c>
      <c r="H75" s="547">
        <f t="shared" si="25"/>
        <v>6800.1636500000004</v>
      </c>
    </row>
    <row r="76" spans="1:8">
      <c r="A76" s="546">
        <f t="shared" si="26"/>
        <v>56</v>
      </c>
      <c r="B76" s="342" t="s">
        <v>171</v>
      </c>
      <c r="C76" s="548">
        <f>(C41*31/12-C40)*12/31</f>
        <v>0</v>
      </c>
      <c r="D76" s="548">
        <f t="shared" ref="D76:D85" si="28">D41-D40</f>
        <v>0</v>
      </c>
      <c r="E76" s="548">
        <f t="shared" si="27"/>
        <v>6548.079249999997</v>
      </c>
      <c r="H76" s="547">
        <f t="shared" si="25"/>
        <v>6548.079249999997</v>
      </c>
    </row>
    <row r="77" spans="1:8">
      <c r="A77" s="546">
        <f t="shared" si="26"/>
        <v>57</v>
      </c>
      <c r="B77" s="342" t="s">
        <v>74</v>
      </c>
      <c r="C77" s="548">
        <f>C42-C41*0</f>
        <v>0</v>
      </c>
      <c r="D77" s="548">
        <f t="shared" si="28"/>
        <v>0</v>
      </c>
      <c r="E77" s="548">
        <f t="shared" si="27"/>
        <v>15036.527982310607</v>
      </c>
      <c r="H77" s="547">
        <f t="shared" si="25"/>
        <v>15036.527982310607</v>
      </c>
    </row>
    <row r="78" spans="1:8">
      <c r="A78" s="546">
        <f t="shared" si="26"/>
        <v>58</v>
      </c>
      <c r="B78" s="342" t="s">
        <v>73</v>
      </c>
      <c r="C78" s="548">
        <f t="shared" ref="C78:C85" si="29">C43-C42</f>
        <v>0</v>
      </c>
      <c r="D78" s="548">
        <f t="shared" si="28"/>
        <v>0</v>
      </c>
      <c r="E78" s="548">
        <f t="shared" si="27"/>
        <v>14538.062171010126</v>
      </c>
      <c r="H78" s="547">
        <f t="shared" si="25"/>
        <v>14538.062171010126</v>
      </c>
    </row>
    <row r="79" spans="1:8">
      <c r="A79" s="546">
        <f t="shared" si="26"/>
        <v>59</v>
      </c>
      <c r="B79" s="342" t="s">
        <v>93</v>
      </c>
      <c r="C79" s="548">
        <f t="shared" si="29"/>
        <v>0</v>
      </c>
      <c r="D79" s="548">
        <f t="shared" si="28"/>
        <v>0</v>
      </c>
      <c r="E79" s="548">
        <f t="shared" si="27"/>
        <v>14056.651741292648</v>
      </c>
      <c r="H79" s="547">
        <f t="shared" si="25"/>
        <v>14056.651741292648</v>
      </c>
    </row>
    <row r="80" spans="1:8">
      <c r="A80" s="546">
        <f t="shared" si="26"/>
        <v>60</v>
      </c>
      <c r="B80" s="342" t="s">
        <v>81</v>
      </c>
      <c r="C80" s="548">
        <f t="shared" si="29"/>
        <v>0</v>
      </c>
      <c r="D80" s="548">
        <f t="shared" si="28"/>
        <v>0</v>
      </c>
      <c r="E80" s="548">
        <f t="shared" si="27"/>
        <v>13591.713130485776</v>
      </c>
      <c r="H80" s="547">
        <f t="shared" si="25"/>
        <v>13591.713130485776</v>
      </c>
    </row>
    <row r="81" spans="1:8">
      <c r="A81" s="546">
        <f t="shared" si="26"/>
        <v>61</v>
      </c>
      <c r="B81" s="342" t="s">
        <v>172</v>
      </c>
      <c r="C81" s="548">
        <f t="shared" si="29"/>
        <v>0</v>
      </c>
      <c r="D81" s="548">
        <f t="shared" si="28"/>
        <v>0</v>
      </c>
      <c r="E81" s="548">
        <f t="shared" si="27"/>
        <v>13142.682742951612</v>
      </c>
      <c r="H81" s="547">
        <f t="shared" si="25"/>
        <v>13142.682742951612</v>
      </c>
    </row>
    <row r="82" spans="1:8">
      <c r="A82" s="546">
        <f t="shared" si="26"/>
        <v>62</v>
      </c>
      <c r="B82" s="342" t="s">
        <v>79</v>
      </c>
      <c r="C82" s="548">
        <f t="shared" si="29"/>
        <v>0</v>
      </c>
      <c r="D82" s="548">
        <f t="shared" si="28"/>
        <v>0</v>
      </c>
      <c r="E82" s="548">
        <f t="shared" si="27"/>
        <v>12784.555886817019</v>
      </c>
      <c r="H82" s="547">
        <f t="shared" si="25"/>
        <v>12784.555886817019</v>
      </c>
    </row>
    <row r="83" spans="1:8">
      <c r="A83" s="546">
        <f t="shared" si="26"/>
        <v>63</v>
      </c>
      <c r="B83" s="342" t="s">
        <v>85</v>
      </c>
      <c r="C83" s="548">
        <f t="shared" si="29"/>
        <v>0</v>
      </c>
      <c r="D83" s="548">
        <f t="shared" si="28"/>
        <v>0</v>
      </c>
      <c r="E83" s="548">
        <f t="shared" si="27"/>
        <v>12441.024262708816</v>
      </c>
      <c r="H83" s="547">
        <f t="shared" si="25"/>
        <v>12441.024262708816</v>
      </c>
    </row>
    <row r="84" spans="1:8">
      <c r="A84" s="546">
        <f t="shared" si="26"/>
        <v>64</v>
      </c>
      <c r="B84" s="342" t="s">
        <v>78</v>
      </c>
      <c r="C84" s="548">
        <f t="shared" si="29"/>
        <v>0</v>
      </c>
      <c r="D84" s="548">
        <f t="shared" si="28"/>
        <v>0</v>
      </c>
      <c r="E84" s="548">
        <f t="shared" si="27"/>
        <v>12036.041331398577</v>
      </c>
      <c r="H84" s="547">
        <f t="shared" si="25"/>
        <v>12036.041331398577</v>
      </c>
    </row>
    <row r="85" spans="1:8">
      <c r="A85" s="546">
        <f t="shared" si="26"/>
        <v>65</v>
      </c>
      <c r="B85" s="342" t="s">
        <v>196</v>
      </c>
      <c r="C85" s="548">
        <f t="shared" si="29"/>
        <v>0</v>
      </c>
      <c r="D85" s="548">
        <f t="shared" si="28"/>
        <v>0</v>
      </c>
      <c r="E85" s="548">
        <f t="shared" si="27"/>
        <v>11644.900154048548</v>
      </c>
      <c r="H85" s="547">
        <f t="shared" si="25"/>
        <v>11644.900154048548</v>
      </c>
    </row>
    <row r="86" spans="1:8">
      <c r="A86" s="546">
        <f t="shared" si="26"/>
        <v>66</v>
      </c>
      <c r="B86" s="342" t="s">
        <v>13</v>
      </c>
      <c r="C86" s="548">
        <f>SUM(C74:C85)</f>
        <v>0</v>
      </c>
      <c r="D86" s="548">
        <f>SUM(D74:D85)</f>
        <v>0</v>
      </c>
      <c r="E86" s="548">
        <f>SUM(E74:E85)</f>
        <v>133458.2012230237</v>
      </c>
      <c r="H86" s="547">
        <f t="shared" si="25"/>
        <v>133458.2012230237</v>
      </c>
    </row>
    <row r="87" spans="1:8">
      <c r="H87" s="548"/>
    </row>
    <row r="88" spans="1:8" ht="16" thickBot="1">
      <c r="A88" s="549" t="s">
        <v>1193</v>
      </c>
      <c r="H88" s="548"/>
    </row>
    <row r="89" spans="1:8">
      <c r="A89" s="16" t="s">
        <v>1173</v>
      </c>
    </row>
  </sheetData>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ignoredErrors>
    <ignoredError sqref="C9"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O56"/>
  <sheetViews>
    <sheetView view="pageBreakPreview" zoomScale="70" zoomScaleNormal="100" zoomScaleSheetLayoutView="70" workbookViewId="0">
      <selection activeCell="E35" sqref="E34:E35"/>
    </sheetView>
  </sheetViews>
  <sheetFormatPr defaultColWidth="14" defaultRowHeight="13"/>
  <cols>
    <col min="1" max="1" width="5.84375" style="550" bestFit="1" customWidth="1"/>
    <col min="2" max="2" width="23.69140625" style="21" customWidth="1"/>
    <col min="3" max="3" width="16.84375" style="21" customWidth="1"/>
    <col min="4" max="4" width="16.3046875" style="21" customWidth="1"/>
    <col min="5" max="5" width="18.84375" style="21" customWidth="1"/>
    <col min="6" max="6" width="15.4609375" style="21" customWidth="1"/>
    <col min="7" max="7" width="13.07421875" style="21" customWidth="1"/>
    <col min="8" max="8" width="12.4609375" style="21" bestFit="1" customWidth="1"/>
    <col min="9" max="9" width="17.69140625" style="21" bestFit="1" customWidth="1"/>
    <col min="10" max="10" width="16" style="21" customWidth="1"/>
    <col min="11" max="11" width="12.53515625" style="21" bestFit="1" customWidth="1"/>
    <col min="12" max="13" width="13.07421875" style="21" customWidth="1"/>
    <col min="14" max="14" width="14" style="21"/>
    <col min="15" max="15" width="10" style="21" bestFit="1" customWidth="1"/>
    <col min="16" max="16384" width="14" style="21"/>
  </cols>
  <sheetData>
    <row r="1" spans="1:15">
      <c r="G1" s="151" t="s">
        <v>192</v>
      </c>
      <c r="M1" s="327" t="s">
        <v>422</v>
      </c>
    </row>
    <row r="2" spans="1:15" ht="15" customHeight="1">
      <c r="G2" s="281" t="s">
        <v>1310</v>
      </c>
    </row>
    <row r="3" spans="1:15">
      <c r="D3" s="22"/>
      <c r="E3" s="22"/>
      <c r="F3" s="22"/>
      <c r="G3" s="24" t="str">
        <f>+'Attachment H-7'!D5</f>
        <v>PECO Energy Company</v>
      </c>
      <c r="H3" s="22"/>
      <c r="J3" s="22"/>
      <c r="K3" s="22"/>
      <c r="L3" s="22"/>
      <c r="M3" s="22"/>
      <c r="N3" s="22"/>
    </row>
    <row r="4" spans="1:15">
      <c r="B4" s="4"/>
    </row>
    <row r="6" spans="1:15" s="554" customFormat="1" ht="69.75" customHeight="1">
      <c r="A6" s="551" t="s">
        <v>155</v>
      </c>
      <c r="B6" s="552" t="s">
        <v>167</v>
      </c>
      <c r="C6" s="552" t="s">
        <v>276</v>
      </c>
      <c r="D6" s="552" t="s">
        <v>245</v>
      </c>
      <c r="E6" s="552" t="s">
        <v>246</v>
      </c>
      <c r="F6" s="552" t="s">
        <v>682</v>
      </c>
      <c r="G6" s="552" t="s">
        <v>277</v>
      </c>
      <c r="H6" s="553" t="s">
        <v>322</v>
      </c>
      <c r="I6" s="552" t="s">
        <v>278</v>
      </c>
      <c r="J6" s="552" t="s">
        <v>761</v>
      </c>
      <c r="K6" s="552" t="s">
        <v>1436</v>
      </c>
      <c r="L6" s="552" t="s">
        <v>1437</v>
      </c>
      <c r="M6" s="552" t="s">
        <v>1475</v>
      </c>
      <c r="O6" s="555"/>
    </row>
    <row r="7" spans="1:15" s="554" customFormat="1">
      <c r="A7" s="551"/>
      <c r="B7" s="552"/>
      <c r="C7" s="556" t="s">
        <v>198</v>
      </c>
      <c r="D7" s="326" t="s">
        <v>199</v>
      </c>
      <c r="E7" s="326" t="s">
        <v>200</v>
      </c>
      <c r="F7" s="557" t="s">
        <v>201</v>
      </c>
      <c r="G7" s="347" t="s">
        <v>203</v>
      </c>
      <c r="H7" s="281" t="s">
        <v>202</v>
      </c>
      <c r="I7" s="281" t="s">
        <v>204</v>
      </c>
      <c r="J7" s="347" t="s">
        <v>205</v>
      </c>
      <c r="K7" s="554" t="s">
        <v>206</v>
      </c>
      <c r="L7" s="554" t="s">
        <v>244</v>
      </c>
      <c r="M7" s="554" t="s">
        <v>248</v>
      </c>
      <c r="O7" s="555"/>
    </row>
    <row r="8" spans="1:15" ht="25.5" customHeight="1">
      <c r="A8" s="558"/>
      <c r="B8" s="335" t="s">
        <v>1311</v>
      </c>
      <c r="C8" s="556">
        <v>1</v>
      </c>
      <c r="D8" s="556">
        <v>2</v>
      </c>
      <c r="E8" s="556">
        <v>3</v>
      </c>
      <c r="F8" s="556"/>
      <c r="G8" s="556">
        <v>11</v>
      </c>
      <c r="H8" s="556">
        <v>12</v>
      </c>
      <c r="I8" s="556">
        <v>16</v>
      </c>
      <c r="J8" s="556"/>
      <c r="O8" s="559"/>
    </row>
    <row r="9" spans="1:15" s="562" customFormat="1" ht="54" customHeight="1">
      <c r="A9" s="558"/>
      <c r="B9" s="560" t="s">
        <v>398</v>
      </c>
      <c r="C9" s="281" t="s">
        <v>399</v>
      </c>
      <c r="D9" s="281" t="s">
        <v>400</v>
      </c>
      <c r="E9" s="281" t="s">
        <v>401</v>
      </c>
      <c r="F9" s="561" t="s">
        <v>683</v>
      </c>
      <c r="G9" s="561" t="s">
        <v>402</v>
      </c>
      <c r="H9" s="561" t="s">
        <v>403</v>
      </c>
      <c r="I9" s="561" t="s">
        <v>1433</v>
      </c>
      <c r="J9" s="561" t="s">
        <v>1498</v>
      </c>
      <c r="K9" s="561" t="s">
        <v>1435</v>
      </c>
      <c r="L9" s="561" t="s">
        <v>1477</v>
      </c>
      <c r="M9" s="561" t="s">
        <v>1476</v>
      </c>
      <c r="O9" s="563"/>
    </row>
    <row r="10" spans="1:15" s="562" customFormat="1" ht="26">
      <c r="A10" s="558"/>
      <c r="B10" s="560"/>
      <c r="F10" s="281"/>
      <c r="G10" s="561" t="s">
        <v>1486</v>
      </c>
      <c r="I10" s="281"/>
      <c r="J10" s="281"/>
      <c r="K10" s="281"/>
      <c r="L10" s="281"/>
      <c r="M10" s="281"/>
      <c r="O10" s="563"/>
    </row>
    <row r="11" spans="1:15">
      <c r="A11" s="558"/>
      <c r="B11" s="564"/>
      <c r="C11" s="556"/>
      <c r="D11" s="556"/>
      <c r="E11" s="556"/>
      <c r="F11" s="556"/>
      <c r="G11" s="556"/>
      <c r="H11" s="556"/>
      <c r="I11" s="556"/>
      <c r="J11" s="556"/>
      <c r="O11" s="559"/>
    </row>
    <row r="12" spans="1:15">
      <c r="A12" s="558" t="s">
        <v>242</v>
      </c>
      <c r="B12" s="565" t="s">
        <v>13</v>
      </c>
      <c r="C12" s="961">
        <v>209296936</v>
      </c>
      <c r="D12" s="961">
        <v>12825426</v>
      </c>
      <c r="E12" s="961">
        <v>0</v>
      </c>
      <c r="F12" s="961">
        <f>SUM(66070282+83090476)</f>
        <v>149160758</v>
      </c>
      <c r="G12" s="961">
        <v>0</v>
      </c>
      <c r="H12" s="566">
        <f>D12-G12</f>
        <v>12825426</v>
      </c>
      <c r="I12" s="566">
        <f>'8 - Depreciation Rates'!K23</f>
        <v>27499483.839612998</v>
      </c>
      <c r="J12" s="566">
        <f>'8 - Depreciation Rates'!K96</f>
        <v>41409815.482510999</v>
      </c>
      <c r="K12" s="566">
        <f>'8 - Depreciation Rates'!K52</f>
        <v>4860047.436365</v>
      </c>
      <c r="L12" s="566">
        <f>'8 - Depreciation Rates'!K62</f>
        <v>4000844.2912750002</v>
      </c>
      <c r="M12" s="566">
        <f>'8 - Depreciation Rates'!K66</f>
        <v>9279239.8048517257</v>
      </c>
      <c r="O12" s="567"/>
    </row>
    <row r="13" spans="1:15">
      <c r="A13" s="558"/>
      <c r="B13" s="568"/>
      <c r="C13" s="568"/>
      <c r="D13" s="568"/>
      <c r="E13" s="568"/>
      <c r="F13" s="568"/>
      <c r="G13" s="568"/>
      <c r="H13" s="568"/>
      <c r="I13" s="568"/>
      <c r="J13" s="568"/>
      <c r="N13" s="568"/>
      <c r="O13" s="569"/>
    </row>
    <row r="14" spans="1:15">
      <c r="A14" s="558"/>
      <c r="B14" s="568"/>
      <c r="C14" s="568"/>
      <c r="D14" s="568"/>
      <c r="E14" s="568"/>
      <c r="F14" s="568"/>
      <c r="G14" s="568"/>
      <c r="H14" s="568"/>
      <c r="I14" s="568"/>
      <c r="J14" s="568"/>
      <c r="N14" s="568"/>
      <c r="O14" s="569"/>
    </row>
    <row r="15" spans="1:15" ht="78">
      <c r="A15" s="558"/>
      <c r="C15" s="552" t="s">
        <v>661</v>
      </c>
      <c r="D15" s="554" t="s">
        <v>247</v>
      </c>
      <c r="E15" s="552" t="s">
        <v>1374</v>
      </c>
      <c r="F15" s="554" t="s">
        <v>1379</v>
      </c>
      <c r="G15" s="552" t="s">
        <v>1375</v>
      </c>
      <c r="H15" s="552" t="s">
        <v>1499</v>
      </c>
      <c r="I15" s="552" t="s">
        <v>1377</v>
      </c>
      <c r="J15" s="552" t="s">
        <v>1380</v>
      </c>
      <c r="K15" s="552" t="s">
        <v>1121</v>
      </c>
      <c r="L15" s="552" t="s">
        <v>1258</v>
      </c>
      <c r="M15" s="552" t="s">
        <v>1165</v>
      </c>
      <c r="N15" s="568"/>
      <c r="O15" s="62"/>
    </row>
    <row r="16" spans="1:15">
      <c r="A16" s="558"/>
      <c r="C16" s="556" t="s">
        <v>198</v>
      </c>
      <c r="D16" s="326" t="s">
        <v>199</v>
      </c>
      <c r="E16" s="546" t="s">
        <v>1382</v>
      </c>
      <c r="F16" s="557" t="s">
        <v>1383</v>
      </c>
      <c r="G16" s="557" t="s">
        <v>203</v>
      </c>
      <c r="H16" s="557" t="s">
        <v>202</v>
      </c>
      <c r="I16" s="557" t="s">
        <v>204</v>
      </c>
      <c r="J16" s="347" t="s">
        <v>1384</v>
      </c>
      <c r="K16" s="347" t="s">
        <v>206</v>
      </c>
      <c r="L16" s="281" t="s">
        <v>244</v>
      </c>
      <c r="M16" s="281" t="s">
        <v>248</v>
      </c>
      <c r="N16" s="568"/>
      <c r="O16" s="62"/>
    </row>
    <row r="17" spans="1:15" ht="26">
      <c r="A17" s="558"/>
      <c r="B17" s="335" t="s">
        <v>1312</v>
      </c>
      <c r="C17" s="556">
        <v>17</v>
      </c>
      <c r="D17" s="558">
        <v>19</v>
      </c>
      <c r="E17" s="556">
        <v>23</v>
      </c>
      <c r="F17" s="556">
        <v>24</v>
      </c>
      <c r="G17" s="556">
        <v>26</v>
      </c>
      <c r="H17" s="556">
        <v>27</v>
      </c>
      <c r="I17" s="556">
        <v>28</v>
      </c>
      <c r="J17" s="556">
        <v>29</v>
      </c>
      <c r="K17" s="560">
        <v>38</v>
      </c>
      <c r="L17" s="556">
        <v>39</v>
      </c>
      <c r="M17" s="556">
        <v>40</v>
      </c>
      <c r="N17" s="568"/>
      <c r="O17" s="62"/>
    </row>
    <row r="18" spans="1:15" ht="25.4" customHeight="1">
      <c r="A18" s="558"/>
      <c r="B18" s="560" t="s">
        <v>398</v>
      </c>
      <c r="C18" s="561" t="s">
        <v>1434</v>
      </c>
      <c r="D18" s="281" t="s">
        <v>404</v>
      </c>
      <c r="E18" s="281" t="s">
        <v>1372</v>
      </c>
      <c r="F18" s="21" t="s">
        <v>1398</v>
      </c>
      <c r="G18" s="561" t="s">
        <v>1373</v>
      </c>
      <c r="H18" s="561" t="s">
        <v>1376</v>
      </c>
      <c r="I18" s="561" t="s">
        <v>1378</v>
      </c>
      <c r="J18" s="21" t="s">
        <v>1399</v>
      </c>
      <c r="K18" s="281" t="s">
        <v>1120</v>
      </c>
      <c r="L18" s="561" t="s">
        <v>1170</v>
      </c>
      <c r="M18" s="561" t="s">
        <v>1171</v>
      </c>
      <c r="N18" s="568"/>
      <c r="O18" s="62"/>
    </row>
    <row r="19" spans="1:15" s="562" customFormat="1">
      <c r="A19" s="558"/>
      <c r="B19" s="560"/>
      <c r="N19" s="281"/>
    </row>
    <row r="20" spans="1:15">
      <c r="A20" s="558"/>
      <c r="C20" s="556"/>
      <c r="E20" s="556"/>
      <c r="F20" s="556"/>
      <c r="G20" s="556"/>
      <c r="H20" s="556"/>
      <c r="I20" s="556"/>
      <c r="J20" s="556"/>
      <c r="K20" s="556"/>
      <c r="L20" s="556"/>
      <c r="M20" s="556"/>
      <c r="N20" s="568"/>
    </row>
    <row r="21" spans="1:15">
      <c r="A21" s="558" t="s">
        <v>165</v>
      </c>
      <c r="B21" s="565" t="s">
        <v>13</v>
      </c>
      <c r="C21" s="566">
        <f>'8 - Depreciation Rates'!K38</f>
        <v>21207818.060013998</v>
      </c>
      <c r="D21" s="962">
        <v>0</v>
      </c>
      <c r="E21" s="566">
        <f>'5C - Other Taxes'!E20</f>
        <v>12363358</v>
      </c>
      <c r="F21" s="962">
        <f>'5C - Other Taxes'!E47</f>
        <v>0</v>
      </c>
      <c r="G21" s="566">
        <f>'5C - Other Taxes'!E12</f>
        <v>13883341</v>
      </c>
      <c r="H21" s="566">
        <f>'5C - Other Taxes'!E37</f>
        <v>140527788</v>
      </c>
      <c r="I21" s="566">
        <f>'5C - Other Taxes'!E28</f>
        <v>7292933</v>
      </c>
      <c r="J21" s="962">
        <f>'5C - Other Taxes'!E52</f>
        <v>0</v>
      </c>
      <c r="K21" s="962">
        <v>2445.5559139626312</v>
      </c>
      <c r="L21" s="566">
        <f>'9 - EDIT'!P18+'9 - EDIT'!P20+'9 - EDIT'!P24</f>
        <v>3680787.9852743056</v>
      </c>
      <c r="M21" s="962">
        <v>582871.92757483781</v>
      </c>
      <c r="N21" s="568"/>
    </row>
    <row r="22" spans="1:15">
      <c r="A22" s="558"/>
      <c r="B22" s="570"/>
      <c r="C22" s="571"/>
      <c r="D22" s="571"/>
      <c r="E22" s="571"/>
      <c r="F22" s="571"/>
      <c r="G22" s="571"/>
      <c r="H22" s="571"/>
      <c r="I22" s="571"/>
      <c r="J22" s="571"/>
      <c r="K22" s="571"/>
      <c r="L22" s="571"/>
      <c r="M22" s="571"/>
      <c r="N22" s="568"/>
    </row>
    <row r="23" spans="1:15">
      <c r="B23" s="568"/>
      <c r="C23" s="568"/>
      <c r="D23" s="568"/>
      <c r="E23" s="568"/>
      <c r="F23" s="568"/>
      <c r="G23" s="556" t="s">
        <v>192</v>
      </c>
      <c r="H23" s="568"/>
      <c r="I23" s="568"/>
      <c r="J23" s="568"/>
      <c r="M23" s="327" t="s">
        <v>154</v>
      </c>
      <c r="N23" s="568"/>
      <c r="O23" s="572"/>
    </row>
    <row r="24" spans="1:15">
      <c r="B24" s="568"/>
      <c r="C24" s="568"/>
      <c r="D24" s="568"/>
      <c r="E24" s="568"/>
      <c r="F24" s="568"/>
      <c r="G24" s="556" t="s">
        <v>1310</v>
      </c>
      <c r="H24" s="568"/>
      <c r="I24" s="568"/>
      <c r="J24" s="568"/>
      <c r="N24" s="568"/>
      <c r="O24" s="572"/>
    </row>
    <row r="25" spans="1:15" ht="15.5">
      <c r="A25" s="573"/>
      <c r="B25" s="574"/>
      <c r="C25" s="574"/>
      <c r="D25" s="574"/>
      <c r="E25" s="574"/>
      <c r="F25" s="574"/>
      <c r="G25" s="575" t="str">
        <f>+G3</f>
        <v>PECO Energy Company</v>
      </c>
      <c r="H25" s="574"/>
      <c r="I25" s="574"/>
      <c r="J25" s="574"/>
      <c r="K25" s="540"/>
      <c r="L25" s="540"/>
      <c r="M25" s="540"/>
      <c r="N25" s="568"/>
      <c r="O25" s="572"/>
    </row>
    <row r="26" spans="1:15">
      <c r="B26" s="568"/>
      <c r="C26" s="568"/>
      <c r="D26" s="568"/>
      <c r="E26" s="568"/>
      <c r="F26" s="568"/>
      <c r="G26" s="568"/>
      <c r="H26" s="568"/>
      <c r="I26" s="568"/>
      <c r="J26" s="568"/>
      <c r="N26" s="568"/>
      <c r="O26" s="572"/>
    </row>
    <row r="27" spans="1:15">
      <c r="B27" s="568"/>
      <c r="C27" s="568"/>
      <c r="D27" s="568"/>
      <c r="E27" s="568"/>
      <c r="F27" s="568"/>
      <c r="G27" s="568"/>
      <c r="H27" s="568"/>
      <c r="I27" s="568"/>
      <c r="J27" s="568"/>
      <c r="N27" s="568"/>
      <c r="O27" s="572"/>
    </row>
    <row r="28" spans="1:15" ht="13.5" thickBot="1">
      <c r="A28" s="576"/>
      <c r="B28" s="22"/>
      <c r="C28" s="4"/>
      <c r="D28" s="577"/>
      <c r="E28" s="577"/>
      <c r="F28" s="577"/>
      <c r="G28" s="577"/>
      <c r="H28" s="577"/>
      <c r="I28" s="577"/>
      <c r="J28" s="578" t="s">
        <v>44</v>
      </c>
      <c r="K28" s="579"/>
      <c r="L28" s="4"/>
      <c r="N28" s="580"/>
      <c r="O28" s="580"/>
    </row>
    <row r="29" spans="1:15">
      <c r="A29" s="576">
        <f>+A21+1</f>
        <v>3</v>
      </c>
      <c r="B29" s="22"/>
      <c r="C29" s="4"/>
      <c r="D29" s="577" t="s">
        <v>1166</v>
      </c>
      <c r="E29" s="577"/>
      <c r="F29" s="577"/>
      <c r="G29" s="577"/>
      <c r="H29" s="577"/>
      <c r="I29" s="577"/>
      <c r="J29" s="39">
        <f>'11 - Cost of Capital'!G13</f>
        <v>164467750.61999997</v>
      </c>
      <c r="N29" s="568"/>
      <c r="O29" s="568"/>
    </row>
    <row r="30" spans="1:15">
      <c r="A30" s="576"/>
      <c r="B30" s="22"/>
      <c r="C30" s="4"/>
      <c r="D30" s="577"/>
      <c r="E30" s="577"/>
      <c r="F30" s="577"/>
      <c r="G30" s="577"/>
      <c r="H30" s="577"/>
      <c r="I30" s="577"/>
      <c r="J30" s="39"/>
      <c r="N30" s="568"/>
      <c r="O30" s="568"/>
    </row>
    <row r="31" spans="1:15">
      <c r="A31" s="576">
        <f>+A29+1</f>
        <v>4</v>
      </c>
      <c r="B31" s="22"/>
      <c r="C31" s="4"/>
      <c r="D31" s="577" t="s">
        <v>300</v>
      </c>
      <c r="E31" s="577"/>
      <c r="F31" s="577"/>
      <c r="G31" s="577"/>
      <c r="H31" s="577"/>
      <c r="I31" s="577"/>
      <c r="J31" s="877">
        <v>0</v>
      </c>
      <c r="N31" s="568"/>
      <c r="O31" s="568"/>
    </row>
    <row r="32" spans="1:15">
      <c r="A32" s="576"/>
      <c r="B32" s="22"/>
      <c r="C32" s="4"/>
      <c r="D32" s="577"/>
      <c r="E32" s="577"/>
      <c r="F32" s="577"/>
      <c r="G32" s="577"/>
      <c r="H32" s="577"/>
      <c r="I32" s="577"/>
      <c r="J32" s="39"/>
    </row>
    <row r="33" spans="1:12">
      <c r="A33" s="576">
        <f>+A31+1</f>
        <v>5</v>
      </c>
      <c r="B33" s="22"/>
      <c r="C33" s="4"/>
      <c r="D33" s="577" t="s">
        <v>1246</v>
      </c>
      <c r="E33" s="581"/>
      <c r="F33" s="577"/>
      <c r="G33" s="577"/>
      <c r="H33" s="577"/>
      <c r="I33" s="577"/>
      <c r="J33" s="39">
        <f>'11 - Cost of Capital'!P42</f>
        <v>4905024772.3400059</v>
      </c>
    </row>
    <row r="34" spans="1:12">
      <c r="A34" s="576">
        <f>+A33+1</f>
        <v>6</v>
      </c>
      <c r="B34" s="22"/>
      <c r="C34" s="4"/>
      <c r="D34" s="577" t="s">
        <v>1247</v>
      </c>
      <c r="E34" s="577"/>
      <c r="F34" s="577"/>
      <c r="G34" s="577"/>
      <c r="H34" s="577"/>
      <c r="I34" s="577"/>
      <c r="J34" s="39">
        <f>'11 - Cost of Capital'!P43</f>
        <v>0</v>
      </c>
    </row>
    <row r="35" spans="1:12">
      <c r="A35" s="576">
        <f>+A34+1</f>
        <v>7</v>
      </c>
      <c r="B35" s="22"/>
      <c r="C35" s="4"/>
      <c r="D35" s="577" t="s">
        <v>1248</v>
      </c>
      <c r="E35" s="577"/>
      <c r="F35" s="577"/>
      <c r="G35" s="577"/>
      <c r="H35" s="577"/>
      <c r="I35" s="577"/>
      <c r="J35" s="39">
        <f>IF('11 - Cost of Capital'!P38&lt;0, 0, -'11 - Cost of Capital'!P38)</f>
        <v>0</v>
      </c>
    </row>
    <row r="36" spans="1:12" ht="13.5" thickBot="1">
      <c r="A36" s="576">
        <f>+A35+1</f>
        <v>8</v>
      </c>
      <c r="B36" s="22"/>
      <c r="C36" s="4"/>
      <c r="D36" s="577" t="s">
        <v>1249</v>
      </c>
      <c r="E36" s="577"/>
      <c r="F36" s="577"/>
      <c r="G36" s="577"/>
      <c r="H36" s="577"/>
      <c r="I36" s="577"/>
      <c r="J36" s="46">
        <f>-'11 - Cost of Capital'!P41</f>
        <v>-3008918.6261538463</v>
      </c>
    </row>
    <row r="37" spans="1:12">
      <c r="A37" s="576">
        <f>+A36+1</f>
        <v>9</v>
      </c>
      <c r="B37" s="22"/>
      <c r="C37" s="4"/>
      <c r="D37" s="577" t="s">
        <v>301</v>
      </c>
      <c r="E37" s="581" t="s">
        <v>1100</v>
      </c>
      <c r="F37" s="581"/>
      <c r="G37" s="581"/>
      <c r="H37" s="582"/>
      <c r="I37" s="581"/>
      <c r="J37" s="39">
        <f>+J33-J34+J35+J36</f>
        <v>4902015853.7138519</v>
      </c>
    </row>
    <row r="38" spans="1:12">
      <c r="A38" s="576"/>
      <c r="B38" s="22"/>
      <c r="C38" s="4"/>
      <c r="J38" s="39"/>
    </row>
    <row r="39" spans="1:12">
      <c r="A39" s="576"/>
      <c r="B39" s="22"/>
      <c r="C39" s="4"/>
      <c r="F39" s="4"/>
      <c r="G39" s="4"/>
      <c r="H39" s="4"/>
      <c r="I39" s="4"/>
      <c r="J39" s="4"/>
      <c r="K39" s="579"/>
      <c r="L39" s="4"/>
    </row>
    <row r="40" spans="1:12">
      <c r="A40" s="576"/>
      <c r="B40" s="22"/>
      <c r="C40" s="4"/>
      <c r="F40" s="4"/>
      <c r="G40" s="4"/>
      <c r="H40" s="4"/>
      <c r="I40" s="27" t="s">
        <v>52</v>
      </c>
      <c r="J40" s="4"/>
      <c r="K40" s="4"/>
      <c r="L40" s="4"/>
    </row>
    <row r="41" spans="1:12" ht="13.5" thickBot="1">
      <c r="A41" s="576"/>
      <c r="B41" s="22"/>
      <c r="C41" s="4"/>
      <c r="F41" s="35" t="s">
        <v>44</v>
      </c>
      <c r="G41" s="35" t="s">
        <v>53</v>
      </c>
      <c r="H41" s="4"/>
      <c r="I41" s="122"/>
      <c r="J41" s="4"/>
      <c r="K41" s="35" t="s">
        <v>54</v>
      </c>
      <c r="L41" s="4"/>
    </row>
    <row r="42" spans="1:12">
      <c r="A42" s="576">
        <f>+A37+1</f>
        <v>10</v>
      </c>
      <c r="B42" s="22" t="s">
        <v>1252</v>
      </c>
      <c r="C42" s="3" t="s">
        <v>1175</v>
      </c>
      <c r="F42" s="33">
        <f>'11 - Cost of Capital'!P22</f>
        <v>4295957070.5384617</v>
      </c>
      <c r="G42" s="42">
        <f>1-G44-G43</f>
        <v>0.46705476368725796</v>
      </c>
      <c r="H42" s="41"/>
      <c r="I42" s="42">
        <f>+J29/F42</f>
        <v>3.8284309624021767E-2</v>
      </c>
      <c r="J42" s="41"/>
      <c r="K42" s="42">
        <f>G42*I42</f>
        <v>1.7880869184377302E-2</v>
      </c>
      <c r="L42" s="104" t="s">
        <v>55</v>
      </c>
    </row>
    <row r="43" spans="1:12">
      <c r="A43" s="576">
        <f>+A42+1</f>
        <v>11</v>
      </c>
      <c r="B43" s="22" t="s">
        <v>1250</v>
      </c>
      <c r="C43" s="3" t="s">
        <v>1174</v>
      </c>
      <c r="F43" s="33">
        <f>J34</f>
        <v>0</v>
      </c>
      <c r="G43" s="41">
        <f>IF(F$45=0,0,F43/F$45)</f>
        <v>0</v>
      </c>
      <c r="H43" s="41"/>
      <c r="I43" s="41">
        <v>0</v>
      </c>
      <c r="J43" s="41"/>
      <c r="K43" s="42">
        <f>G43*I43</f>
        <v>0</v>
      </c>
      <c r="L43" s="4"/>
    </row>
    <row r="44" spans="1:12" ht="13.5" thickBot="1">
      <c r="A44" s="576">
        <f>+A43+1</f>
        <v>12</v>
      </c>
      <c r="B44" s="22" t="s">
        <v>1251</v>
      </c>
      <c r="C44" s="3" t="s">
        <v>1176</v>
      </c>
      <c r="F44" s="36">
        <f>+J37</f>
        <v>4902015853.7138519</v>
      </c>
      <c r="G44" s="42">
        <f>IF(F$45=0,0,IF(F44/F$45&gt;0.5575, 0.5575, F44/F$45))</f>
        <v>0.53294523631274204</v>
      </c>
      <c r="H44" s="136"/>
      <c r="I44" s="42">
        <f>0.5%+9.85%</f>
        <v>0.10349999999999999</v>
      </c>
      <c r="J44" s="41"/>
      <c r="K44" s="583">
        <f>G44*I44</f>
        <v>5.51598319583688E-2</v>
      </c>
      <c r="L44" s="4"/>
    </row>
    <row r="45" spans="1:12">
      <c r="A45" s="576">
        <f>+A44+1</f>
        <v>13</v>
      </c>
      <c r="B45" s="22" t="s">
        <v>227</v>
      </c>
      <c r="C45" s="3" t="s">
        <v>1101</v>
      </c>
      <c r="F45" s="33">
        <f>SUM(F42:F44)</f>
        <v>9197972924.2523136</v>
      </c>
      <c r="G45" s="41" t="s">
        <v>2</v>
      </c>
      <c r="H45" s="4"/>
      <c r="I45" s="41"/>
      <c r="J45" s="41"/>
      <c r="K45" s="42">
        <f>SUM(K42:K44)</f>
        <v>7.3040701142746106E-2</v>
      </c>
      <c r="L45" s="104" t="s">
        <v>56</v>
      </c>
    </row>
    <row r="46" spans="1:12">
      <c r="A46" s="576"/>
      <c r="G46" s="41"/>
    </row>
    <row r="47" spans="1:12" ht="13.5" thickBot="1">
      <c r="A47" s="584" t="s">
        <v>182</v>
      </c>
    </row>
    <row r="48" spans="1:12">
      <c r="A48" s="558" t="s">
        <v>58</v>
      </c>
      <c r="B48" s="21" t="s">
        <v>1199</v>
      </c>
    </row>
    <row r="49" spans="1:13">
      <c r="A49" s="558" t="s">
        <v>59</v>
      </c>
      <c r="B49" s="21" t="s">
        <v>420</v>
      </c>
    </row>
    <row r="50" spans="1:13">
      <c r="A50" s="558" t="s">
        <v>60</v>
      </c>
      <c r="B50" s="21" t="s">
        <v>768</v>
      </c>
    </row>
    <row r="51" spans="1:13">
      <c r="A51" s="558"/>
      <c r="B51" s="21" t="s">
        <v>1130</v>
      </c>
    </row>
    <row r="52" spans="1:13">
      <c r="A52" s="558"/>
      <c r="B52" s="1098" t="s">
        <v>1318</v>
      </c>
      <c r="C52" s="1098"/>
      <c r="D52" s="1098"/>
      <c r="E52" s="1098"/>
      <c r="F52" s="1098"/>
      <c r="G52" s="1098"/>
      <c r="H52" s="1098"/>
      <c r="I52" s="1098"/>
      <c r="J52" s="1098"/>
      <c r="K52" s="1098"/>
    </row>
    <row r="53" spans="1:13">
      <c r="A53" s="558" t="s">
        <v>61</v>
      </c>
      <c r="B53" s="577" t="s">
        <v>700</v>
      </c>
    </row>
    <row r="54" spans="1:13" ht="41.5" customHeight="1">
      <c r="A54" s="585" t="s">
        <v>62</v>
      </c>
      <c r="B54" s="1105" t="s">
        <v>1099</v>
      </c>
      <c r="C54" s="1105"/>
      <c r="D54" s="1105"/>
      <c r="E54" s="1105"/>
      <c r="F54" s="1105"/>
      <c r="G54" s="1105"/>
      <c r="H54" s="1105"/>
      <c r="I54" s="1105"/>
      <c r="J54" s="1105"/>
      <c r="K54" s="1105"/>
      <c r="L54" s="1105"/>
      <c r="M54" s="1105"/>
    </row>
    <row r="55" spans="1:13">
      <c r="A55" s="558" t="s">
        <v>63</v>
      </c>
      <c r="B55" s="586" t="s">
        <v>1385</v>
      </c>
    </row>
    <row r="56" spans="1:13">
      <c r="A56" s="558" t="s">
        <v>64</v>
      </c>
      <c r="B56" s="21" t="s">
        <v>1167</v>
      </c>
    </row>
  </sheetData>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2:K52"/>
    <mergeCell ref="B54:M54"/>
  </mergeCells>
  <phoneticPr fontId="0" type="noConversion"/>
  <pageMargins left="0.25" right="0.25" top="0.75" bottom="0.75" header="0.3" footer="0.3"/>
  <pageSetup scale="57" fitToHeight="0" orientation="landscape" r:id="rId2"/>
  <rowBreaks count="1" manualBreakCount="1">
    <brk id="22" max="12" man="1"/>
  </rowBreaks>
  <ignoredErrors>
    <ignoredError sqref="F21 J2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93"/>
  <sheetViews>
    <sheetView view="pageBreakPreview" zoomScale="70" zoomScaleNormal="90" zoomScaleSheetLayoutView="70" workbookViewId="0">
      <selection activeCell="F66" sqref="F66"/>
    </sheetView>
  </sheetViews>
  <sheetFormatPr defaultColWidth="7.07421875" defaultRowHeight="14"/>
  <cols>
    <col min="1" max="1" width="5.84375" style="589" customWidth="1"/>
    <col min="2" max="2" width="65.84375" style="587" customWidth="1"/>
    <col min="3" max="3" width="14.07421875" style="587" customWidth="1"/>
    <col min="4" max="4" width="13" style="536" customWidth="1"/>
    <col min="5" max="5" width="14.84375" style="587" bestFit="1" customWidth="1"/>
    <col min="6" max="6" width="14" style="587" customWidth="1"/>
    <col min="7" max="7" width="10.69140625" style="587" bestFit="1" customWidth="1"/>
    <col min="8" max="8" width="12" style="587" customWidth="1"/>
    <col min="9" max="12" width="7.07421875" style="587"/>
    <col min="13" max="13" width="10.23046875" style="587" bestFit="1" customWidth="1"/>
    <col min="14" max="16384" width="7.07421875" style="587"/>
  </cols>
  <sheetData>
    <row r="1" spans="1:8">
      <c r="A1" s="1136" t="s">
        <v>681</v>
      </c>
      <c r="B1" s="1136"/>
      <c r="C1" s="1136"/>
      <c r="D1" s="1136"/>
      <c r="H1" s="587" t="s">
        <v>422</v>
      </c>
    </row>
    <row r="2" spans="1:8">
      <c r="A2" s="1141" t="s">
        <v>650</v>
      </c>
      <c r="B2" s="1142"/>
      <c r="C2" s="1142"/>
      <c r="D2" s="1142"/>
      <c r="E2" s="588"/>
    </row>
    <row r="3" spans="1:8">
      <c r="A3" s="1141"/>
      <c r="B3" s="1142"/>
      <c r="C3" s="1142"/>
      <c r="D3" s="1142"/>
      <c r="E3" s="588"/>
    </row>
    <row r="4" spans="1:8">
      <c r="B4" s="590"/>
      <c r="C4" s="532"/>
    </row>
    <row r="5" spans="1:8">
      <c r="B5" s="530" t="s">
        <v>618</v>
      </c>
      <c r="C5" s="591"/>
      <c r="G5" s="592"/>
    </row>
    <row r="6" spans="1:8">
      <c r="A6" s="589">
        <v>1</v>
      </c>
      <c r="B6" s="593" t="s">
        <v>840</v>
      </c>
      <c r="C6" s="529"/>
      <c r="D6" s="594">
        <f>E60</f>
        <v>9624623</v>
      </c>
      <c r="G6" s="536"/>
    </row>
    <row r="7" spans="1:8">
      <c r="A7" s="589">
        <f>A6+1</f>
        <v>2</v>
      </c>
      <c r="B7" s="593" t="s">
        <v>841</v>
      </c>
      <c r="C7" s="529"/>
      <c r="D7" s="594">
        <f>E59+F67+E63</f>
        <v>958071.26899036544</v>
      </c>
      <c r="G7" s="536"/>
    </row>
    <row r="8" spans="1:8">
      <c r="A8" s="589">
        <f>A7+1</f>
        <v>3</v>
      </c>
      <c r="B8" s="529" t="s">
        <v>624</v>
      </c>
      <c r="C8" s="591" t="s">
        <v>1102</v>
      </c>
      <c r="D8" s="595">
        <f>SUM(D6:D7)</f>
        <v>10582694.268990366</v>
      </c>
      <c r="G8" s="536"/>
    </row>
    <row r="9" spans="1:8">
      <c r="B9" s="529"/>
      <c r="C9" s="529"/>
      <c r="D9" s="595"/>
      <c r="G9" s="596"/>
    </row>
    <row r="10" spans="1:8">
      <c r="B10" s="530" t="s">
        <v>771</v>
      </c>
      <c r="C10" s="529"/>
      <c r="F10" s="597"/>
      <c r="G10" s="598"/>
    </row>
    <row r="11" spans="1:8">
      <c r="B11" s="599"/>
      <c r="C11" s="600"/>
      <c r="D11" s="601"/>
      <c r="G11" s="598"/>
    </row>
    <row r="12" spans="1:8">
      <c r="A12" s="589">
        <f>+A8+1</f>
        <v>4</v>
      </c>
      <c r="B12" s="593" t="s">
        <v>619</v>
      </c>
      <c r="C12" s="602"/>
      <c r="D12" s="603">
        <f>E84</f>
        <v>4898825</v>
      </c>
      <c r="G12" s="598"/>
    </row>
    <row r="13" spans="1:8" ht="28">
      <c r="A13" s="589">
        <f t="shared" ref="A13:A20" si="0">+A12+1</f>
        <v>5</v>
      </c>
      <c r="B13" s="602" t="s">
        <v>922</v>
      </c>
      <c r="C13" s="602"/>
      <c r="D13" s="603">
        <f>E86</f>
        <v>1601782</v>
      </c>
      <c r="G13" s="598"/>
    </row>
    <row r="14" spans="1:8">
      <c r="A14" s="589">
        <f t="shared" si="0"/>
        <v>6</v>
      </c>
      <c r="B14" s="602" t="s">
        <v>713</v>
      </c>
      <c r="C14" s="602"/>
      <c r="D14" s="963">
        <v>0</v>
      </c>
      <c r="G14" s="596"/>
    </row>
    <row r="15" spans="1:8">
      <c r="A15" s="589">
        <f t="shared" si="0"/>
        <v>7</v>
      </c>
      <c r="B15" s="529" t="s">
        <v>842</v>
      </c>
      <c r="C15" s="602"/>
      <c r="D15" s="604">
        <f>H80</f>
        <v>1168426.0545093205</v>
      </c>
      <c r="G15" s="598"/>
    </row>
    <row r="16" spans="1:8">
      <c r="A16" s="589">
        <f t="shared" si="0"/>
        <v>8</v>
      </c>
      <c r="B16" s="529" t="s">
        <v>620</v>
      </c>
      <c r="C16" s="605"/>
      <c r="D16" s="963">
        <v>0</v>
      </c>
      <c r="G16" s="536"/>
    </row>
    <row r="17" spans="1:5">
      <c r="A17" s="589">
        <f t="shared" si="0"/>
        <v>9</v>
      </c>
      <c r="B17" s="529" t="s">
        <v>621</v>
      </c>
      <c r="C17" s="602"/>
      <c r="D17" s="963">
        <v>0</v>
      </c>
    </row>
    <row r="18" spans="1:5">
      <c r="A18" s="589">
        <f t="shared" si="0"/>
        <v>10</v>
      </c>
      <c r="B18" s="529" t="s">
        <v>625</v>
      </c>
      <c r="C18" s="529"/>
      <c r="D18" s="963">
        <v>0</v>
      </c>
    </row>
    <row r="19" spans="1:5">
      <c r="A19" s="589">
        <f t="shared" si="0"/>
        <v>11</v>
      </c>
      <c r="B19" s="529" t="s">
        <v>622</v>
      </c>
      <c r="C19" s="591"/>
      <c r="D19" s="963">
        <v>0</v>
      </c>
    </row>
    <row r="20" spans="1:5">
      <c r="A20" s="589">
        <f t="shared" si="0"/>
        <v>12</v>
      </c>
      <c r="B20" s="529" t="s">
        <v>626</v>
      </c>
      <c r="C20" s="591"/>
      <c r="D20" s="963">
        <v>0</v>
      </c>
    </row>
    <row r="21" spans="1:5">
      <c r="B21" s="529"/>
      <c r="C21" s="591"/>
      <c r="D21" s="606"/>
    </row>
    <row r="22" spans="1:5">
      <c r="A22" s="589">
        <f>+A20+1</f>
        <v>13</v>
      </c>
      <c r="B22" s="529" t="s">
        <v>623</v>
      </c>
      <c r="C22" s="591" t="s">
        <v>1116</v>
      </c>
      <c r="D22" s="536">
        <f>SUM(D12:D20)+D8</f>
        <v>18251727.323499687</v>
      </c>
    </row>
    <row r="23" spans="1:5">
      <c r="A23" s="589">
        <f t="shared" ref="A23:A24" si="1">+A22+1</f>
        <v>14</v>
      </c>
      <c r="B23" s="529" t="s">
        <v>627</v>
      </c>
      <c r="C23" s="591"/>
      <c r="D23" s="536">
        <f>+D38</f>
        <v>-6367675.5795168458</v>
      </c>
    </row>
    <row r="24" spans="1:5">
      <c r="A24" s="589">
        <f t="shared" si="1"/>
        <v>15</v>
      </c>
      <c r="B24" s="529" t="s">
        <v>628</v>
      </c>
      <c r="C24" s="591"/>
      <c r="D24" s="536">
        <f>+D22+D23</f>
        <v>11884051.74398284</v>
      </c>
    </row>
    <row r="25" spans="1:5">
      <c r="B25" s="529"/>
      <c r="C25" s="591"/>
    </row>
    <row r="26" spans="1:5" ht="50.25" customHeight="1">
      <c r="B26" s="607" t="s">
        <v>629</v>
      </c>
      <c r="C26" s="591"/>
      <c r="D26" s="606"/>
      <c r="E26" s="608"/>
    </row>
    <row r="27" spans="1:5" ht="87.75" customHeight="1">
      <c r="A27" s="609" t="s">
        <v>792</v>
      </c>
      <c r="B27" s="610" t="s">
        <v>1117</v>
      </c>
      <c r="C27" s="591"/>
      <c r="D27" s="963">
        <v>0</v>
      </c>
    </row>
    <row r="28" spans="1:5" ht="21" customHeight="1">
      <c r="A28" s="609"/>
      <c r="B28" s="529"/>
      <c r="C28" s="591"/>
      <c r="E28" s="608"/>
    </row>
    <row r="29" spans="1:5" ht="56">
      <c r="A29" s="609" t="s">
        <v>793</v>
      </c>
      <c r="B29" s="610" t="s">
        <v>630</v>
      </c>
      <c r="C29" s="591"/>
    </row>
    <row r="30" spans="1:5" ht="14.25" customHeight="1">
      <c r="A30" s="609"/>
      <c r="B30" s="529"/>
      <c r="C30" s="591"/>
      <c r="E30" s="608"/>
    </row>
    <row r="31" spans="1:5" ht="207.75" customHeight="1">
      <c r="A31" s="609" t="s">
        <v>794</v>
      </c>
      <c r="B31" s="611" t="s">
        <v>818</v>
      </c>
      <c r="C31" s="611"/>
    </row>
    <row r="32" spans="1:5">
      <c r="A32" s="609" t="s">
        <v>631</v>
      </c>
      <c r="B32" s="611" t="s">
        <v>632</v>
      </c>
      <c r="C32" s="611"/>
      <c r="D32" s="601">
        <f>+D6+D18+D20</f>
        <v>9624623</v>
      </c>
    </row>
    <row r="33" spans="1:8">
      <c r="A33" s="609" t="s">
        <v>633</v>
      </c>
      <c r="B33" s="611" t="s">
        <v>634</v>
      </c>
      <c r="C33" s="612"/>
      <c r="D33" s="601">
        <f>F54+(D32-F54)*'Attachment H-7'!D152</f>
        <v>3307231.5856994549</v>
      </c>
      <c r="E33" s="588"/>
    </row>
    <row r="34" spans="1:8">
      <c r="A34" s="609" t="s">
        <v>635</v>
      </c>
      <c r="B34" s="611" t="s">
        <v>636</v>
      </c>
      <c r="C34" s="611"/>
      <c r="D34" s="601">
        <f>+D32-D33</f>
        <v>6317391.4143005451</v>
      </c>
      <c r="E34" s="606"/>
    </row>
    <row r="35" spans="1:8">
      <c r="A35" s="609" t="s">
        <v>637</v>
      </c>
      <c r="B35" s="611" t="s">
        <v>638</v>
      </c>
      <c r="C35" s="611"/>
      <c r="D35" s="601">
        <f>+D34/2</f>
        <v>3158695.7071502726</v>
      </c>
    </row>
    <row r="36" spans="1:8" ht="42">
      <c r="A36" s="609" t="s">
        <v>639</v>
      </c>
      <c r="B36" s="611" t="s">
        <v>640</v>
      </c>
      <c r="C36" s="611"/>
      <c r="D36" s="601">
        <f>H54</f>
        <v>98251.713332881875</v>
      </c>
    </row>
    <row r="37" spans="1:8">
      <c r="A37" s="609" t="s">
        <v>641</v>
      </c>
      <c r="B37" s="529" t="s">
        <v>642</v>
      </c>
      <c r="C37" s="591"/>
      <c r="D37" s="536">
        <f>+D35+D36</f>
        <v>3256947.4204831542</v>
      </c>
    </row>
    <row r="38" spans="1:8">
      <c r="A38" s="609" t="s">
        <v>643</v>
      </c>
      <c r="B38" s="529" t="s">
        <v>644</v>
      </c>
      <c r="C38" s="591"/>
      <c r="D38" s="536">
        <f>+D37-D32</f>
        <v>-6367675.5795168458</v>
      </c>
    </row>
    <row r="39" spans="1:8" ht="78.650000000000006" customHeight="1">
      <c r="A39" s="609">
        <v>18</v>
      </c>
      <c r="B39" s="610" t="s">
        <v>1103</v>
      </c>
      <c r="C39" s="591"/>
      <c r="D39" s="963">
        <v>0</v>
      </c>
    </row>
    <row r="40" spans="1:8">
      <c r="B40" s="591"/>
      <c r="C40" s="591"/>
    </row>
    <row r="41" spans="1:8">
      <c r="A41" s="589">
        <v>19</v>
      </c>
      <c r="B41" s="591" t="s">
        <v>369</v>
      </c>
      <c r="C41" s="591"/>
      <c r="D41" s="963">
        <v>0</v>
      </c>
    </row>
    <row r="42" spans="1:8">
      <c r="B42" s="591"/>
      <c r="C42" s="591"/>
      <c r="D42" s="606"/>
    </row>
    <row r="43" spans="1:8">
      <c r="A43" s="589">
        <v>20</v>
      </c>
      <c r="B43" s="591" t="s">
        <v>645</v>
      </c>
      <c r="C43" s="591"/>
      <c r="D43" s="613">
        <f>+D22+D27+D39+D41</f>
        <v>18251727.323499687</v>
      </c>
    </row>
    <row r="44" spans="1:8">
      <c r="A44" s="589">
        <v>21</v>
      </c>
      <c r="B44" s="591" t="s">
        <v>369</v>
      </c>
      <c r="C44" s="591"/>
      <c r="D44" s="613"/>
    </row>
    <row r="46" spans="1:8">
      <c r="A46" s="614"/>
      <c r="D46" s="615"/>
      <c r="H46" s="587" t="s">
        <v>154</v>
      </c>
    </row>
    <row r="47" spans="1:8">
      <c r="A47" s="1141" t="s">
        <v>650</v>
      </c>
      <c r="B47" s="1142"/>
      <c r="C47" s="1142"/>
      <c r="D47" s="1142"/>
      <c r="E47" s="588"/>
    </row>
    <row r="49" spans="1:13">
      <c r="B49" s="611" t="s">
        <v>634</v>
      </c>
    </row>
    <row r="50" spans="1:13" ht="60" customHeight="1">
      <c r="B50" s="587" t="s">
        <v>646</v>
      </c>
      <c r="C50" s="616" t="s">
        <v>819</v>
      </c>
      <c r="D50" s="536" t="s">
        <v>845</v>
      </c>
      <c r="E50" s="616" t="s">
        <v>921</v>
      </c>
      <c r="F50" s="616" t="s">
        <v>844</v>
      </c>
      <c r="G50" s="616" t="s">
        <v>846</v>
      </c>
      <c r="H50" s="616" t="s">
        <v>847</v>
      </c>
    </row>
    <row r="51" spans="1:13">
      <c r="A51" s="589" t="s">
        <v>647</v>
      </c>
      <c r="B51" s="1074" t="s">
        <v>688</v>
      </c>
      <c r="C51" s="1074">
        <v>920000</v>
      </c>
      <c r="D51" s="1075">
        <v>723956.59000000008</v>
      </c>
      <c r="E51" s="635">
        <v>0.75</v>
      </c>
      <c r="F51" s="617">
        <f>D51*E51</f>
        <v>542967.44250000012</v>
      </c>
      <c r="G51" s="618">
        <f>'Attachment H-7'!I197</f>
        <v>9.9526966285675506E-2</v>
      </c>
      <c r="H51" s="617">
        <f>D51*G51</f>
        <v>72053.203125222615</v>
      </c>
    </row>
    <row r="52" spans="1:13">
      <c r="A52" s="589" t="s">
        <v>648</v>
      </c>
      <c r="B52" s="1076" t="s">
        <v>693</v>
      </c>
      <c r="C52" s="1074">
        <v>926000</v>
      </c>
      <c r="D52" s="1075">
        <v>263230.26999999996</v>
      </c>
      <c r="E52" s="635">
        <v>0.75</v>
      </c>
      <c r="F52" s="617">
        <f>D52*E52</f>
        <v>197422.70249999996</v>
      </c>
      <c r="G52" s="618">
        <f>G51</f>
        <v>9.9526966285675506E-2</v>
      </c>
      <c r="H52" s="617">
        <f>D52*G52</f>
        <v>26198.510207659256</v>
      </c>
    </row>
    <row r="53" spans="1:13">
      <c r="A53" s="589" t="s">
        <v>296</v>
      </c>
    </row>
    <row r="54" spans="1:13">
      <c r="A54" s="589">
        <v>23</v>
      </c>
      <c r="B54" s="587" t="s">
        <v>649</v>
      </c>
      <c r="D54" s="619">
        <f>SUM(D51:D53)</f>
        <v>987186.8600000001</v>
      </c>
      <c r="E54" s="620"/>
      <c r="F54" s="619">
        <f>SUM(F51:F53)</f>
        <v>740390.14500000002</v>
      </c>
      <c r="G54" s="620"/>
      <c r="H54" s="619">
        <f>SUM(H51:H53)</f>
        <v>98251.713332881875</v>
      </c>
    </row>
    <row r="56" spans="1:13">
      <c r="M56" s="1094"/>
    </row>
    <row r="57" spans="1:13" ht="28.4" customHeight="1">
      <c r="B57" s="621" t="s">
        <v>848</v>
      </c>
      <c r="C57" s="622" t="s">
        <v>843</v>
      </c>
      <c r="D57" s="622" t="s">
        <v>852</v>
      </c>
      <c r="E57" s="622" t="s">
        <v>853</v>
      </c>
      <c r="F57" s="622" t="s">
        <v>854</v>
      </c>
      <c r="G57" s="622" t="s">
        <v>855</v>
      </c>
      <c r="H57" s="623" t="s">
        <v>13</v>
      </c>
    </row>
    <row r="58" spans="1:13">
      <c r="A58" s="589" t="s">
        <v>865</v>
      </c>
      <c r="B58" s="621" t="s">
        <v>856</v>
      </c>
      <c r="C58" s="1077">
        <v>13419942</v>
      </c>
      <c r="D58" s="624">
        <f>C58</f>
        <v>13419942</v>
      </c>
      <c r="E58" s="625"/>
      <c r="F58" s="625"/>
      <c r="G58" s="625"/>
      <c r="H58" s="626"/>
    </row>
    <row r="59" spans="1:13">
      <c r="A59" s="589" t="s">
        <v>866</v>
      </c>
      <c r="B59" s="621" t="s">
        <v>857</v>
      </c>
      <c r="C59" s="964">
        <v>264492</v>
      </c>
      <c r="D59" s="627"/>
      <c r="E59" s="628">
        <f>C59</f>
        <v>264492</v>
      </c>
      <c r="F59" s="621"/>
      <c r="G59" s="621"/>
      <c r="H59" s="629"/>
    </row>
    <row r="60" spans="1:13">
      <c r="A60" s="589" t="s">
        <v>867</v>
      </c>
      <c r="B60" s="621" t="s">
        <v>1185</v>
      </c>
      <c r="C60" s="964">
        <v>9624623</v>
      </c>
      <c r="D60" s="627"/>
      <c r="E60" s="628">
        <f>C60</f>
        <v>9624623</v>
      </c>
      <c r="F60" s="621"/>
      <c r="G60" s="621"/>
      <c r="H60" s="629"/>
    </row>
    <row r="61" spans="1:13">
      <c r="A61" s="589" t="s">
        <v>868</v>
      </c>
      <c r="B61" s="621" t="s">
        <v>1186</v>
      </c>
      <c r="C61" s="964">
        <v>2841527</v>
      </c>
      <c r="D61" s="627">
        <f>C61</f>
        <v>2841527</v>
      </c>
      <c r="E61" s="621"/>
      <c r="F61" s="628"/>
      <c r="G61" s="621"/>
      <c r="H61" s="629"/>
    </row>
    <row r="62" spans="1:13">
      <c r="A62" s="589" t="s">
        <v>1184</v>
      </c>
      <c r="B62" s="621" t="s">
        <v>858</v>
      </c>
      <c r="C62" s="964">
        <v>3008799</v>
      </c>
      <c r="D62" s="627"/>
      <c r="E62" s="621"/>
      <c r="F62" s="628">
        <f>C62</f>
        <v>3008799</v>
      </c>
      <c r="G62" s="621"/>
      <c r="H62" s="629"/>
    </row>
    <row r="63" spans="1:13">
      <c r="A63" s="589" t="s">
        <v>1561</v>
      </c>
      <c r="B63" s="621" t="s">
        <v>1562</v>
      </c>
      <c r="C63" s="964">
        <v>154657</v>
      </c>
      <c r="D63" s="627"/>
      <c r="E63" s="628">
        <f>C63</f>
        <v>154657</v>
      </c>
      <c r="F63" s="628"/>
      <c r="G63" s="621"/>
      <c r="H63" s="629"/>
    </row>
    <row r="64" spans="1:13">
      <c r="A64" s="589" t="s">
        <v>1762</v>
      </c>
      <c r="B64" s="1095" t="s">
        <v>1761</v>
      </c>
      <c r="C64" s="964">
        <v>13381576</v>
      </c>
      <c r="D64" s="627">
        <v>13381576</v>
      </c>
      <c r="E64" s="621"/>
      <c r="F64" s="628"/>
      <c r="G64" s="621"/>
      <c r="H64" s="629"/>
    </row>
    <row r="65" spans="1:8">
      <c r="B65" s="630" t="s">
        <v>869</v>
      </c>
      <c r="C65" s="625">
        <f>SUM(C58:C64)</f>
        <v>42695616</v>
      </c>
      <c r="D65" s="625">
        <f>SUM(D58:D64)</f>
        <v>29643045</v>
      </c>
      <c r="E65" s="625">
        <f>SUM(E58:E64)</f>
        <v>10043772</v>
      </c>
      <c r="F65" s="625">
        <f>SUM(F58:F64)</f>
        <v>3008799</v>
      </c>
      <c r="G65" s="625">
        <f t="shared" ref="G65" si="2">SUM(G58:G64)</f>
        <v>0</v>
      </c>
      <c r="H65" s="626"/>
    </row>
    <row r="66" spans="1:8">
      <c r="B66" s="631" t="s">
        <v>859</v>
      </c>
      <c r="C66" s="621"/>
      <c r="D66" s="632">
        <v>0</v>
      </c>
      <c r="E66" s="632">
        <v>1</v>
      </c>
      <c r="F66" s="633">
        <f>'Attachment H-7'!G53</f>
        <v>0.17911541083015697</v>
      </c>
      <c r="G66" s="633">
        <f>'Attachment H-7'!I197</f>
        <v>9.9526966285675506E-2</v>
      </c>
      <c r="H66" s="621"/>
    </row>
    <row r="67" spans="1:8">
      <c r="B67" s="631" t="s">
        <v>860</v>
      </c>
      <c r="C67" s="621"/>
      <c r="D67" s="624">
        <f>D65*D66</f>
        <v>0</v>
      </c>
      <c r="E67" s="624">
        <f t="shared" ref="E67:G67" si="3">E65*E66</f>
        <v>10043772</v>
      </c>
      <c r="F67" s="624">
        <f t="shared" si="3"/>
        <v>538922.26899036544</v>
      </c>
      <c r="G67" s="624">
        <f t="shared" si="3"/>
        <v>0</v>
      </c>
      <c r="H67" s="626">
        <f t="shared" ref="H67" si="4">SUM(D67:G67)</f>
        <v>10582694.268990366</v>
      </c>
    </row>
    <row r="68" spans="1:8">
      <c r="E68" s="634"/>
    </row>
    <row r="69" spans="1:8">
      <c r="B69" s="621" t="s">
        <v>861</v>
      </c>
      <c r="C69" s="622" t="s">
        <v>843</v>
      </c>
      <c r="D69" s="622" t="s">
        <v>852</v>
      </c>
      <c r="E69" s="622" t="s">
        <v>853</v>
      </c>
      <c r="F69" s="622" t="s">
        <v>854</v>
      </c>
      <c r="G69" s="622" t="s">
        <v>855</v>
      </c>
      <c r="H69" s="623" t="s">
        <v>13</v>
      </c>
    </row>
    <row r="70" spans="1:8">
      <c r="A70" s="589" t="s">
        <v>583</v>
      </c>
      <c r="B70" s="621" t="s">
        <v>862</v>
      </c>
      <c r="C70" s="1077">
        <v>-3859745</v>
      </c>
      <c r="D70" s="624">
        <f>C70</f>
        <v>-3859745</v>
      </c>
      <c r="E70" s="625"/>
      <c r="F70" s="625"/>
      <c r="G70" s="625"/>
      <c r="H70" s="626"/>
    </row>
    <row r="71" spans="1:8">
      <c r="A71" s="589" t="s">
        <v>584</v>
      </c>
      <c r="B71" s="621" t="s">
        <v>1187</v>
      </c>
      <c r="C71" s="964">
        <v>2812226</v>
      </c>
      <c r="D71" s="624">
        <f>C71</f>
        <v>2812226</v>
      </c>
      <c r="E71" s="628"/>
      <c r="F71" s="621"/>
      <c r="G71" s="621"/>
      <c r="H71" s="629"/>
    </row>
    <row r="72" spans="1:8">
      <c r="A72" s="589" t="s">
        <v>585</v>
      </c>
      <c r="B72" s="621" t="s">
        <v>863</v>
      </c>
      <c r="C72" s="964">
        <v>10093330</v>
      </c>
      <c r="D72" s="624">
        <f>C72</f>
        <v>10093330</v>
      </c>
      <c r="E72" s="621"/>
      <c r="F72" s="621"/>
      <c r="G72" s="628"/>
      <c r="H72" s="629"/>
    </row>
    <row r="73" spans="1:8">
      <c r="A73" s="589" t="s">
        <v>586</v>
      </c>
      <c r="B73" s="621" t="s">
        <v>1505</v>
      </c>
      <c r="C73" s="964">
        <v>1159953</v>
      </c>
      <c r="D73" s="629"/>
      <c r="E73" s="629">
        <f>C73</f>
        <v>1159953</v>
      </c>
      <c r="F73" s="629"/>
      <c r="G73" s="629"/>
      <c r="H73" s="629"/>
    </row>
    <row r="74" spans="1:8">
      <c r="A74" s="589" t="s">
        <v>587</v>
      </c>
      <c r="B74" s="621" t="s">
        <v>1506</v>
      </c>
      <c r="C74" s="964">
        <v>0</v>
      </c>
      <c r="D74" s="629"/>
      <c r="E74" s="629"/>
      <c r="F74" s="629"/>
      <c r="G74" s="629">
        <f>C74</f>
        <v>0</v>
      </c>
      <c r="H74" s="629"/>
    </row>
    <row r="75" spans="1:8">
      <c r="A75" s="589" t="s">
        <v>588</v>
      </c>
      <c r="B75" s="621" t="s">
        <v>1507</v>
      </c>
      <c r="C75" s="964">
        <v>739268</v>
      </c>
      <c r="D75" s="629">
        <f>C75</f>
        <v>739268</v>
      </c>
      <c r="E75" s="629"/>
      <c r="F75" s="629"/>
      <c r="G75" s="629"/>
      <c r="H75" s="629"/>
    </row>
    <row r="76" spans="1:8">
      <c r="A76" s="589" t="s">
        <v>589</v>
      </c>
      <c r="B76" s="621" t="s">
        <v>852</v>
      </c>
      <c r="C76" s="964">
        <v>-12692486</v>
      </c>
      <c r="D76" s="964">
        <v>-12739791</v>
      </c>
      <c r="E76" s="964">
        <v>0</v>
      </c>
      <c r="F76" s="964">
        <v>47305</v>
      </c>
      <c r="G76" s="964">
        <v>0</v>
      </c>
      <c r="H76" s="629"/>
    </row>
    <row r="77" spans="1:8">
      <c r="A77" s="589" t="s">
        <v>296</v>
      </c>
      <c r="B77" s="621"/>
      <c r="C77" s="964"/>
      <c r="D77" s="627"/>
      <c r="E77" s="621"/>
      <c r="F77" s="628"/>
      <c r="G77" s="628"/>
      <c r="H77" s="629"/>
    </row>
    <row r="78" spans="1:8">
      <c r="B78" s="630" t="s">
        <v>870</v>
      </c>
      <c r="C78" s="625">
        <f>SUM(C70:C77)</f>
        <v>-1747454</v>
      </c>
      <c r="D78" s="625">
        <f t="shared" ref="D78:G78" si="5">SUM(D70:D77)</f>
        <v>-2954712</v>
      </c>
      <c r="E78" s="625">
        <f t="shared" si="5"/>
        <v>1159953</v>
      </c>
      <c r="F78" s="625">
        <f t="shared" si="5"/>
        <v>47305</v>
      </c>
      <c r="G78" s="625">
        <f t="shared" si="5"/>
        <v>0</v>
      </c>
      <c r="H78" s="626"/>
    </row>
    <row r="79" spans="1:8">
      <c r="B79" s="631" t="s">
        <v>859</v>
      </c>
      <c r="C79" s="621"/>
      <c r="D79" s="632">
        <v>0</v>
      </c>
      <c r="E79" s="632">
        <v>1</v>
      </c>
      <c r="F79" s="633">
        <f>'Attachment H-7'!G53</f>
        <v>0.17911541083015697</v>
      </c>
      <c r="G79" s="633">
        <f>'Attachment H-7'!I197</f>
        <v>9.9526966285675506E-2</v>
      </c>
      <c r="H79" s="621"/>
    </row>
    <row r="80" spans="1:8">
      <c r="B80" s="631" t="s">
        <v>860</v>
      </c>
      <c r="C80" s="621"/>
      <c r="D80" s="624">
        <f>D78*D79</f>
        <v>0</v>
      </c>
      <c r="E80" s="624">
        <f t="shared" ref="E80" si="6">E78*E79</f>
        <v>1159953</v>
      </c>
      <c r="F80" s="624">
        <f t="shared" ref="F80" si="7">F78*F79</f>
        <v>8473.0545093205765</v>
      </c>
      <c r="G80" s="624">
        <f t="shared" ref="G80" si="8">G78*G79</f>
        <v>0</v>
      </c>
      <c r="H80" s="626">
        <f>SUM(D80:G80)</f>
        <v>1168426.0545093205</v>
      </c>
    </row>
    <row r="82" spans="1:8">
      <c r="B82" s="621" t="s">
        <v>864</v>
      </c>
      <c r="C82" s="622" t="s">
        <v>843</v>
      </c>
      <c r="D82" s="622" t="s">
        <v>852</v>
      </c>
      <c r="E82" s="622" t="s">
        <v>853</v>
      </c>
      <c r="F82" s="622" t="s">
        <v>854</v>
      </c>
      <c r="G82" s="622" t="s">
        <v>855</v>
      </c>
      <c r="H82" s="623" t="s">
        <v>13</v>
      </c>
    </row>
    <row r="83" spans="1:8">
      <c r="A83" s="589" t="s">
        <v>872</v>
      </c>
      <c r="B83" s="621" t="s">
        <v>849</v>
      </c>
      <c r="C83" s="1077">
        <v>170767853</v>
      </c>
      <c r="D83" s="624">
        <f>C83</f>
        <v>170767853</v>
      </c>
      <c r="E83" s="625"/>
      <c r="F83" s="625"/>
      <c r="G83" s="625"/>
      <c r="H83" s="626"/>
    </row>
    <row r="84" spans="1:8">
      <c r="A84" s="589" t="s">
        <v>873</v>
      </c>
      <c r="B84" s="621" t="s">
        <v>850</v>
      </c>
      <c r="C84" s="964">
        <v>4898825</v>
      </c>
      <c r="D84" s="624"/>
      <c r="E84" s="624">
        <f>C84</f>
        <v>4898825</v>
      </c>
      <c r="F84" s="621"/>
      <c r="G84" s="621"/>
      <c r="H84" s="629"/>
    </row>
    <row r="85" spans="1:8">
      <c r="A85" s="589" t="s">
        <v>874</v>
      </c>
      <c r="B85" s="621" t="s">
        <v>1188</v>
      </c>
      <c r="C85" s="964">
        <v>30158296</v>
      </c>
      <c r="D85" s="624">
        <f>C85</f>
        <v>30158296</v>
      </c>
      <c r="E85" s="624"/>
      <c r="F85" s="621"/>
      <c r="G85" s="621"/>
      <c r="H85" s="629"/>
    </row>
    <row r="86" spans="1:8">
      <c r="A86" s="589" t="s">
        <v>875</v>
      </c>
      <c r="B86" s="621" t="s">
        <v>851</v>
      </c>
      <c r="C86" s="964">
        <v>1601782</v>
      </c>
      <c r="D86" s="627"/>
      <c r="E86" s="628">
        <f>C86</f>
        <v>1601782</v>
      </c>
      <c r="F86" s="621"/>
      <c r="G86" s="621"/>
      <c r="H86" s="629"/>
    </row>
    <row r="87" spans="1:8">
      <c r="A87" s="589" t="s">
        <v>1189</v>
      </c>
      <c r="B87" s="621" t="s">
        <v>852</v>
      </c>
      <c r="C87" s="964">
        <v>1258139</v>
      </c>
      <c r="D87" s="627">
        <f>C87</f>
        <v>1258139</v>
      </c>
      <c r="E87" s="621"/>
      <c r="F87" s="628"/>
      <c r="G87" s="628"/>
      <c r="H87" s="629"/>
    </row>
    <row r="88" spans="1:8">
      <c r="A88" s="589" t="s">
        <v>296</v>
      </c>
      <c r="B88" s="621"/>
      <c r="C88" s="964"/>
      <c r="D88" s="627"/>
      <c r="E88" s="621"/>
      <c r="F88" s="628"/>
      <c r="G88" s="628"/>
      <c r="H88" s="629"/>
    </row>
    <row r="89" spans="1:8">
      <c r="B89" s="630" t="s">
        <v>871</v>
      </c>
      <c r="C89" s="625">
        <f>SUM(C83:C88)</f>
        <v>208684895</v>
      </c>
      <c r="D89" s="625">
        <f t="shared" ref="D89:G89" si="9">SUM(D83:D88)</f>
        <v>202184288</v>
      </c>
      <c r="E89" s="625">
        <f t="shared" si="9"/>
        <v>6500607</v>
      </c>
      <c r="F89" s="625">
        <f t="shared" si="9"/>
        <v>0</v>
      </c>
      <c r="G89" s="625">
        <f t="shared" si="9"/>
        <v>0</v>
      </c>
      <c r="H89" s="626"/>
    </row>
    <row r="90" spans="1:8">
      <c r="B90" s="631" t="s">
        <v>859</v>
      </c>
      <c r="C90" s="621"/>
      <c r="D90" s="632">
        <v>0</v>
      </c>
      <c r="E90" s="632">
        <v>1</v>
      </c>
      <c r="F90" s="633">
        <f>'Attachment H-7'!G53</f>
        <v>0.17911541083015697</v>
      </c>
      <c r="G90" s="633">
        <f>'Attachment H-7'!I197</f>
        <v>9.9526966285675506E-2</v>
      </c>
      <c r="H90" s="621"/>
    </row>
    <row r="91" spans="1:8">
      <c r="B91" s="631" t="s">
        <v>860</v>
      </c>
      <c r="C91" s="621"/>
      <c r="D91" s="624">
        <f>D89*D90</f>
        <v>0</v>
      </c>
      <c r="E91" s="624">
        <f t="shared" ref="E91" si="10">E89*E90</f>
        <v>6500607</v>
      </c>
      <c r="F91" s="624">
        <f t="shared" ref="F91" si="11">F89*F90</f>
        <v>0</v>
      </c>
      <c r="G91" s="624">
        <f t="shared" ref="G91" si="12">G89*G90</f>
        <v>0</v>
      </c>
      <c r="H91" s="626">
        <f>SUM(D91:G91)</f>
        <v>6500607</v>
      </c>
    </row>
    <row r="93" spans="1:8">
      <c r="B93" s="587" t="s">
        <v>1074</v>
      </c>
    </row>
  </sheetData>
  <mergeCells count="4">
    <mergeCell ref="A1:D1"/>
    <mergeCell ref="A3:D3"/>
    <mergeCell ref="A47:D47"/>
    <mergeCell ref="A2:D2"/>
  </mergeCells>
  <printOptions horizontalCentered="1"/>
  <pageMargins left="0.5" right="0.5" top="1" bottom="1" header="0.5" footer="0.5"/>
  <pageSetup scale="42" fitToHeight="2" orientation="landscape" r:id="rId1"/>
  <headerFooter alignWithMargins="0"/>
  <rowBreaks count="1" manualBreakCount="1">
    <brk id="44" max="7" man="1"/>
  </rowBreaks>
  <ignoredErrors>
    <ignoredError sqref="E64:G64 A15:E15 A52 A51 D58:G58 D59:G59 D60:G60 D61:G61 D62:G62 C77:G82 D70:G70 D71:G71 D72:G72 D73:G73 D74:G74 D75:G75 D87:G87 D83:G83 D84:G84 D85:G85 D86:G86 A40:E40 A39:C39 E39 A42:E50 A41:C41 E41 A14:C14 E14 A21:E26 A16:C16 E16 A17:C17 E17 A18:C18 E18 A19:C19 E19 A20:C20 E20 A28:E38 A27:C27 E27 C66:G69 G65"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K31"/>
  <sheetViews>
    <sheetView view="pageBreakPreview" zoomScale="70" zoomScaleNormal="100" zoomScaleSheetLayoutView="70" workbookViewId="0">
      <selection activeCell="G13" sqref="G13:I13"/>
    </sheetView>
  </sheetViews>
  <sheetFormatPr defaultColWidth="8.84375" defaultRowHeight="14"/>
  <cols>
    <col min="1" max="1" width="4.07421875" style="529" customWidth="1"/>
    <col min="2" max="2" width="36.07421875" style="529" customWidth="1"/>
    <col min="3" max="3" width="1.69140625" style="529" customWidth="1"/>
    <col min="4" max="4" width="5.3046875" style="529" bestFit="1" customWidth="1"/>
    <col min="5" max="5" width="17" style="529" bestFit="1" customWidth="1"/>
    <col min="6" max="6" width="2.07421875" style="529" customWidth="1"/>
    <col min="7" max="7" width="14.84375" style="529" bestFit="1" customWidth="1"/>
    <col min="8" max="8" width="17.53515625" style="529" bestFit="1" customWidth="1"/>
    <col min="9" max="9" width="14" style="529" bestFit="1" customWidth="1"/>
    <col min="10" max="10" width="14.84375" style="529" bestFit="1" customWidth="1"/>
    <col min="11" max="11" width="4.3046875" style="529" customWidth="1"/>
    <col min="12" max="16384" width="8.84375" style="529"/>
  </cols>
  <sheetData>
    <row r="1" spans="1:10">
      <c r="B1" s="1136" t="str">
        <f>+'Attachment H-7'!D177</f>
        <v>PECO Energy Company</v>
      </c>
      <c r="C1" s="1136"/>
      <c r="D1" s="1136"/>
      <c r="E1" s="1136"/>
      <c r="F1" s="1136"/>
      <c r="G1" s="1136"/>
    </row>
    <row r="2" spans="1:10">
      <c r="B2" s="1141" t="s">
        <v>651</v>
      </c>
      <c r="C2" s="1141"/>
      <c r="D2" s="1141"/>
      <c r="E2" s="1141"/>
      <c r="F2" s="1141"/>
      <c r="G2" s="1141"/>
    </row>
    <row r="4" spans="1:10">
      <c r="B4" s="530"/>
      <c r="C4" s="530"/>
      <c r="D4" s="530"/>
      <c r="E4" s="530"/>
      <c r="F4" s="530"/>
      <c r="G4" s="530"/>
    </row>
    <row r="5" spans="1:10">
      <c r="B5" s="530"/>
    </row>
    <row r="6" spans="1:10">
      <c r="E6" s="636" t="s">
        <v>198</v>
      </c>
      <c r="G6" s="636" t="s">
        <v>199</v>
      </c>
      <c r="H6" s="636" t="s">
        <v>200</v>
      </c>
      <c r="I6" s="637" t="s">
        <v>201</v>
      </c>
      <c r="J6" s="636" t="s">
        <v>203</v>
      </c>
    </row>
    <row r="7" spans="1:10">
      <c r="E7" s="638" t="s">
        <v>801</v>
      </c>
    </row>
    <row r="8" spans="1:10">
      <c r="B8" s="591"/>
      <c r="C8" s="591"/>
      <c r="D8" s="591"/>
      <c r="E8" s="639"/>
      <c r="F8" s="640"/>
      <c r="G8" s="640"/>
      <c r="H8" s="640"/>
      <c r="I8" s="640"/>
      <c r="J8" s="640"/>
    </row>
    <row r="9" spans="1:10">
      <c r="B9" s="641"/>
      <c r="C9" s="642"/>
      <c r="D9" s="643"/>
      <c r="E9" s="644" t="s">
        <v>13</v>
      </c>
      <c r="F9" s="644"/>
      <c r="G9" s="644" t="s">
        <v>685</v>
      </c>
      <c r="H9" s="644" t="s">
        <v>686</v>
      </c>
      <c r="I9" s="644" t="s">
        <v>687</v>
      </c>
      <c r="J9" s="644" t="s">
        <v>1104</v>
      </c>
    </row>
    <row r="10" spans="1:10">
      <c r="A10" s="535">
        <v>1</v>
      </c>
      <c r="B10" s="645" t="s">
        <v>688</v>
      </c>
      <c r="C10" s="591"/>
      <c r="D10" s="646">
        <v>920</v>
      </c>
      <c r="E10" s="1078">
        <v>26491554</v>
      </c>
      <c r="F10" s="965"/>
      <c r="G10" s="1078">
        <v>26491554</v>
      </c>
      <c r="H10" s="647"/>
      <c r="I10" s="919">
        <v>0</v>
      </c>
      <c r="J10" s="919">
        <v>0</v>
      </c>
    </row>
    <row r="11" spans="1:10">
      <c r="A11" s="535">
        <f>A10+1</f>
        <v>2</v>
      </c>
      <c r="B11" s="645" t="s">
        <v>689</v>
      </c>
      <c r="C11" s="591"/>
      <c r="D11" s="646">
        <v>921</v>
      </c>
      <c r="E11" s="919">
        <v>7991873</v>
      </c>
      <c r="F11" s="966"/>
      <c r="G11" s="919">
        <v>7991873</v>
      </c>
      <c r="H11" s="648"/>
      <c r="I11" s="919">
        <v>0</v>
      </c>
      <c r="J11" s="919">
        <v>0</v>
      </c>
    </row>
    <row r="12" spans="1:10">
      <c r="A12" s="535">
        <f t="shared" ref="A12:A24" si="0">A11+1</f>
        <v>3</v>
      </c>
      <c r="B12" s="645" t="s">
        <v>690</v>
      </c>
      <c r="C12" s="591"/>
      <c r="D12" s="646">
        <v>922</v>
      </c>
      <c r="E12" s="919">
        <v>0</v>
      </c>
      <c r="F12" s="966"/>
      <c r="G12" s="919">
        <v>0</v>
      </c>
      <c r="H12" s="648"/>
      <c r="I12" s="919">
        <v>0</v>
      </c>
      <c r="J12" s="919">
        <v>0</v>
      </c>
    </row>
    <row r="13" spans="1:10">
      <c r="A13" s="535">
        <f t="shared" si="0"/>
        <v>4</v>
      </c>
      <c r="B13" s="645" t="s">
        <v>1142</v>
      </c>
      <c r="C13" s="591"/>
      <c r="D13" s="646">
        <v>923</v>
      </c>
      <c r="E13" s="919">
        <v>84407225</v>
      </c>
      <c r="F13" s="966"/>
      <c r="G13" s="919">
        <v>84401427.182423651</v>
      </c>
      <c r="H13" s="648"/>
      <c r="I13" s="919">
        <v>5797.8175763423587</v>
      </c>
      <c r="J13" s="919">
        <v>0</v>
      </c>
    </row>
    <row r="14" spans="1:10">
      <c r="A14" s="535">
        <f t="shared" si="0"/>
        <v>5</v>
      </c>
      <c r="B14" s="645" t="s">
        <v>691</v>
      </c>
      <c r="C14" s="591"/>
      <c r="D14" s="646">
        <v>924</v>
      </c>
      <c r="E14" s="919">
        <v>599608</v>
      </c>
      <c r="F14" s="966"/>
      <c r="G14" s="919">
        <v>0</v>
      </c>
      <c r="H14" s="919">
        <v>599608</v>
      </c>
      <c r="I14" s="919">
        <v>0</v>
      </c>
      <c r="J14" s="919">
        <v>0</v>
      </c>
    </row>
    <row r="15" spans="1:10">
      <c r="A15" s="535">
        <f t="shared" si="0"/>
        <v>6</v>
      </c>
      <c r="B15" s="645" t="s">
        <v>692</v>
      </c>
      <c r="C15" s="591"/>
      <c r="D15" s="646">
        <v>925</v>
      </c>
      <c r="E15" s="919">
        <v>9578370</v>
      </c>
      <c r="F15" s="966"/>
      <c r="G15" s="919">
        <v>9578370</v>
      </c>
      <c r="H15" s="648"/>
      <c r="I15" s="919">
        <v>0</v>
      </c>
      <c r="J15" s="919">
        <v>0</v>
      </c>
    </row>
    <row r="16" spans="1:10">
      <c r="A16" s="535">
        <f t="shared" si="0"/>
        <v>7</v>
      </c>
      <c r="B16" s="645" t="s">
        <v>693</v>
      </c>
      <c r="C16" s="591"/>
      <c r="D16" s="649">
        <v>926</v>
      </c>
      <c r="E16" s="919">
        <v>26549790</v>
      </c>
      <c r="F16" s="966"/>
      <c r="G16" s="919">
        <v>26549790</v>
      </c>
      <c r="H16" s="648"/>
      <c r="I16" s="919">
        <v>0</v>
      </c>
      <c r="J16" s="919">
        <v>0</v>
      </c>
    </row>
    <row r="17" spans="1:11">
      <c r="A17" s="535">
        <f t="shared" si="0"/>
        <v>8</v>
      </c>
      <c r="B17" s="645" t="s">
        <v>694</v>
      </c>
      <c r="C17" s="591"/>
      <c r="D17" s="646">
        <v>927</v>
      </c>
      <c r="E17" s="919">
        <v>0</v>
      </c>
      <c r="F17" s="966"/>
      <c r="G17" s="919">
        <v>0</v>
      </c>
      <c r="H17" s="648"/>
      <c r="I17" s="919">
        <v>0</v>
      </c>
      <c r="J17" s="919">
        <v>0</v>
      </c>
    </row>
    <row r="18" spans="1:11">
      <c r="A18" s="535">
        <f t="shared" si="0"/>
        <v>9</v>
      </c>
      <c r="B18" s="645" t="s">
        <v>766</v>
      </c>
      <c r="C18" s="591"/>
      <c r="D18" s="646">
        <v>928</v>
      </c>
      <c r="E18" s="919">
        <v>8574698</v>
      </c>
      <c r="F18" s="966"/>
      <c r="G18" s="919">
        <v>0</v>
      </c>
      <c r="H18" s="648"/>
      <c r="I18" s="919">
        <v>8488525.2899999991</v>
      </c>
      <c r="J18" s="919">
        <v>86172.71</v>
      </c>
    </row>
    <row r="19" spans="1:11">
      <c r="A19" s="535">
        <f t="shared" si="0"/>
        <v>10</v>
      </c>
      <c r="B19" s="645" t="s">
        <v>695</v>
      </c>
      <c r="C19" s="591"/>
      <c r="D19" s="646">
        <v>929</v>
      </c>
      <c r="E19" s="919">
        <v>-2011573</v>
      </c>
      <c r="F19" s="966"/>
      <c r="G19" s="919">
        <v>-2011573</v>
      </c>
      <c r="H19" s="648"/>
      <c r="I19" s="919">
        <v>0</v>
      </c>
      <c r="J19" s="919">
        <v>0</v>
      </c>
    </row>
    <row r="20" spans="1:11">
      <c r="A20" s="535">
        <f t="shared" si="0"/>
        <v>11</v>
      </c>
      <c r="B20" s="645" t="s">
        <v>1105</v>
      </c>
      <c r="C20" s="591"/>
      <c r="D20" s="646">
        <v>930.1</v>
      </c>
      <c r="E20" s="919">
        <v>1024797</v>
      </c>
      <c r="F20" s="966"/>
      <c r="G20" s="919">
        <v>0</v>
      </c>
      <c r="H20" s="648"/>
      <c r="I20" s="919">
        <v>1024797</v>
      </c>
      <c r="J20" s="919">
        <v>0</v>
      </c>
    </row>
    <row r="21" spans="1:11">
      <c r="A21" s="535">
        <f t="shared" si="0"/>
        <v>12</v>
      </c>
      <c r="B21" s="645" t="s">
        <v>1107</v>
      </c>
      <c r="C21" s="591"/>
      <c r="D21" s="646">
        <v>930.2</v>
      </c>
      <c r="E21" s="919">
        <v>2723660</v>
      </c>
      <c r="F21" s="966"/>
      <c r="G21" s="919">
        <v>1770447.21</v>
      </c>
      <c r="H21" s="648"/>
      <c r="I21" s="919">
        <v>953212.79</v>
      </c>
      <c r="J21" s="919">
        <v>0</v>
      </c>
    </row>
    <row r="22" spans="1:11">
      <c r="A22" s="535">
        <f t="shared" si="0"/>
        <v>13</v>
      </c>
      <c r="B22" s="645" t="s">
        <v>696</v>
      </c>
      <c r="C22" s="591"/>
      <c r="D22" s="646">
        <v>931</v>
      </c>
      <c r="E22" s="919">
        <v>0</v>
      </c>
      <c r="F22" s="966"/>
      <c r="G22" s="919">
        <v>0</v>
      </c>
      <c r="H22" s="648"/>
      <c r="I22" s="919">
        <v>0</v>
      </c>
      <c r="J22" s="919">
        <v>0</v>
      </c>
    </row>
    <row r="23" spans="1:11">
      <c r="A23" s="535">
        <f t="shared" si="0"/>
        <v>14</v>
      </c>
      <c r="B23" s="650" t="s">
        <v>697</v>
      </c>
      <c r="C23" s="591"/>
      <c r="D23" s="643">
        <v>935</v>
      </c>
      <c r="E23" s="919">
        <v>7192772</v>
      </c>
      <c r="F23" s="966"/>
      <c r="G23" s="919">
        <v>7192772</v>
      </c>
      <c r="H23" s="647"/>
      <c r="I23" s="919">
        <v>0</v>
      </c>
      <c r="J23" s="919">
        <v>0</v>
      </c>
      <c r="K23" s="536"/>
    </row>
    <row r="24" spans="1:11">
      <c r="A24" s="535">
        <f t="shared" si="0"/>
        <v>15</v>
      </c>
      <c r="B24" s="651" t="s">
        <v>1106</v>
      </c>
      <c r="C24" s="591"/>
      <c r="D24" s="532"/>
      <c r="E24" s="652">
        <f>SUM(E10:E23)</f>
        <v>173122774</v>
      </c>
      <c r="F24" s="653"/>
      <c r="G24" s="652">
        <f>SUM(G10:G23)</f>
        <v>161964660.39242366</v>
      </c>
      <c r="H24" s="652">
        <f t="shared" ref="H24:J24" si="1">SUM(H10:H23)</f>
        <v>599608</v>
      </c>
      <c r="I24" s="652">
        <f t="shared" si="1"/>
        <v>10472332.897576343</v>
      </c>
      <c r="J24" s="652">
        <f t="shared" si="1"/>
        <v>86172.71</v>
      </c>
    </row>
    <row r="25" spans="1:11">
      <c r="A25" s="535"/>
      <c r="B25" s="591"/>
      <c r="C25" s="591"/>
      <c r="D25" s="591"/>
      <c r="E25" s="591"/>
      <c r="F25" s="591"/>
      <c r="G25" s="591"/>
      <c r="H25" s="591"/>
      <c r="I25" s="591"/>
      <c r="J25" s="591"/>
    </row>
    <row r="26" spans="1:11">
      <c r="A26" s="535">
        <f>A24+1</f>
        <v>16</v>
      </c>
      <c r="B26" s="591"/>
      <c r="C26" s="591"/>
      <c r="D26" s="591"/>
      <c r="E26" s="654" t="s">
        <v>698</v>
      </c>
      <c r="F26" s="591"/>
      <c r="G26" s="655">
        <f>'Attachment H-7'!I197</f>
        <v>9.9526966285675506E-2</v>
      </c>
      <c r="H26" s="655">
        <f>'Attachment H-7'!G53</f>
        <v>0.17911541083015697</v>
      </c>
      <c r="I26" s="655">
        <v>0</v>
      </c>
      <c r="J26" s="655">
        <v>1</v>
      </c>
    </row>
    <row r="27" spans="1:11" ht="15.5">
      <c r="A27" s="535">
        <f t="shared" ref="A27:A28" si="2">A26+1</f>
        <v>17</v>
      </c>
      <c r="B27" s="591"/>
      <c r="C27" s="591"/>
      <c r="D27" s="591"/>
      <c r="E27" s="654" t="s">
        <v>1108</v>
      </c>
      <c r="F27" s="591"/>
      <c r="G27" s="656">
        <f>G24*G26</f>
        <v>16119851.294347633</v>
      </c>
      <c r="H27" s="656">
        <f t="shared" ref="H27" si="3">H24*H26</f>
        <v>107399.03325704877</v>
      </c>
      <c r="I27" s="656">
        <f t="shared" ref="I27:J27" si="4">I24*I26</f>
        <v>0</v>
      </c>
      <c r="J27" s="656">
        <f t="shared" si="4"/>
        <v>86172.71</v>
      </c>
    </row>
    <row r="28" spans="1:11" ht="15.5">
      <c r="A28" s="535">
        <f t="shared" si="2"/>
        <v>18</v>
      </c>
      <c r="I28" s="654" t="s">
        <v>1109</v>
      </c>
      <c r="J28" s="657">
        <f>SUM(G27:J27)</f>
        <v>16313423.037604682</v>
      </c>
      <c r="K28" s="658"/>
    </row>
    <row r="29" spans="1:11" ht="14.5" thickBot="1">
      <c r="A29" s="659" t="s">
        <v>182</v>
      </c>
    </row>
    <row r="30" spans="1:11" ht="15.5">
      <c r="A30" s="529" t="s">
        <v>1110</v>
      </c>
    </row>
    <row r="31" spans="1:11" ht="15.5">
      <c r="A31" s="529" t="s">
        <v>1111</v>
      </c>
    </row>
  </sheetData>
  <mergeCells count="2">
    <mergeCell ref="B1:G1"/>
    <mergeCell ref="B2:G2"/>
  </mergeCells>
  <pageMargins left="0.7" right="0.7" top="0.75" bottom="0.75" header="0.3" footer="0.3"/>
  <pageSetup scale="8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859D-FE24-4BDC-A1F5-47E39341C905}">
  <sheetPr codeName="Sheet15">
    <pageSetUpPr fitToPage="1"/>
  </sheetPr>
  <dimension ref="A1:H64"/>
  <sheetViews>
    <sheetView zoomScale="70" zoomScaleNormal="70" workbookViewId="0">
      <selection activeCell="H24" sqref="H24"/>
    </sheetView>
  </sheetViews>
  <sheetFormatPr defaultColWidth="8.84375" defaultRowHeight="14"/>
  <cols>
    <col min="1" max="1" width="4.69140625" style="660" customWidth="1"/>
    <col min="2" max="2" width="3.69140625" style="660" customWidth="1"/>
    <col min="3" max="3" width="74.69140625" style="660" customWidth="1"/>
    <col min="4" max="4" width="11.07421875" style="660" customWidth="1"/>
    <col min="5" max="5" width="11.84375" style="666" customWidth="1"/>
    <col min="6" max="6" width="11.84375" style="660" customWidth="1"/>
    <col min="7" max="7" width="12" style="660" customWidth="1"/>
    <col min="8" max="16384" width="8.84375" style="660"/>
  </cols>
  <sheetData>
    <row r="1" spans="1:8">
      <c r="A1" s="1143" t="str">
        <f>'Attachment H-7'!D5</f>
        <v>PECO Energy Company</v>
      </c>
      <c r="B1" s="1143"/>
      <c r="C1" s="1143"/>
      <c r="D1" s="1143"/>
      <c r="E1" s="1143"/>
      <c r="F1" s="1143"/>
      <c r="G1" s="1143"/>
      <c r="H1" s="1143"/>
    </row>
    <row r="2" spans="1:8">
      <c r="A2" s="1144" t="s">
        <v>1341</v>
      </c>
      <c r="B2" s="1144"/>
      <c r="C2" s="1144"/>
      <c r="D2" s="1144"/>
      <c r="E2" s="1144"/>
      <c r="F2" s="1144"/>
      <c r="G2" s="1144"/>
      <c r="H2" s="1144"/>
    </row>
    <row r="4" spans="1:8">
      <c r="D4" s="591"/>
      <c r="E4" s="661" t="s">
        <v>1342</v>
      </c>
    </row>
    <row r="5" spans="1:8">
      <c r="A5" s="662" t="s">
        <v>1360</v>
      </c>
      <c r="B5" s="662"/>
      <c r="D5" s="591"/>
      <c r="E5" s="661" t="s">
        <v>1343</v>
      </c>
    </row>
    <row r="6" spans="1:8">
      <c r="A6" s="662"/>
      <c r="B6" s="662"/>
      <c r="D6" s="591"/>
      <c r="E6" s="661"/>
    </row>
    <row r="7" spans="1:8">
      <c r="A7" s="663"/>
      <c r="B7" s="662" t="s">
        <v>1367</v>
      </c>
      <c r="D7" s="591"/>
      <c r="E7" s="664"/>
    </row>
    <row r="8" spans="1:8">
      <c r="A8" s="665" t="s">
        <v>508</v>
      </c>
      <c r="C8" s="967" t="s">
        <v>1766</v>
      </c>
      <c r="D8" s="591"/>
      <c r="E8" s="968">
        <v>13883341</v>
      </c>
    </row>
    <row r="9" spans="1:8">
      <c r="A9" s="665" t="s">
        <v>509</v>
      </c>
      <c r="B9" s="666"/>
      <c r="C9" s="967"/>
      <c r="D9" s="591"/>
      <c r="E9" s="968" t="s">
        <v>2</v>
      </c>
    </row>
    <row r="10" spans="1:8">
      <c r="A10" s="665" t="s">
        <v>510</v>
      </c>
      <c r="C10" s="967"/>
      <c r="D10" s="591"/>
      <c r="E10" s="968"/>
    </row>
    <row r="11" spans="1:8">
      <c r="A11" s="665" t="s">
        <v>296</v>
      </c>
      <c r="C11" s="967"/>
      <c r="D11" s="591"/>
      <c r="E11" s="969"/>
    </row>
    <row r="12" spans="1:8">
      <c r="A12" s="665">
        <v>1</v>
      </c>
      <c r="B12" s="662" t="s">
        <v>1354</v>
      </c>
      <c r="D12" s="591"/>
      <c r="E12" s="667">
        <f>SUM(E8:E11)</f>
        <v>13883341</v>
      </c>
    </row>
    <row r="13" spans="1:8">
      <c r="A13" s="663"/>
      <c r="D13" s="591"/>
      <c r="E13" s="668"/>
    </row>
    <row r="14" spans="1:8">
      <c r="A14" s="663"/>
      <c r="D14" s="591"/>
      <c r="E14" s="668"/>
    </row>
    <row r="15" spans="1:8">
      <c r="A15" s="663"/>
      <c r="B15" s="662" t="s">
        <v>1369</v>
      </c>
      <c r="D15" s="591"/>
      <c r="E15" s="669"/>
    </row>
    <row r="16" spans="1:8">
      <c r="A16" s="665" t="s">
        <v>1196</v>
      </c>
      <c r="C16" s="952" t="s">
        <v>1344</v>
      </c>
      <c r="D16" s="591"/>
      <c r="E16" s="968">
        <v>45003</v>
      </c>
    </row>
    <row r="17" spans="1:5">
      <c r="A17" s="665" t="s">
        <v>1356</v>
      </c>
      <c r="C17" s="952" t="s">
        <v>1767</v>
      </c>
      <c r="D17" s="591"/>
      <c r="E17" s="968">
        <v>171153</v>
      </c>
    </row>
    <row r="18" spans="1:5">
      <c r="A18" s="665" t="s">
        <v>1357</v>
      </c>
      <c r="C18" s="952" t="s">
        <v>1696</v>
      </c>
      <c r="D18" s="591"/>
      <c r="E18" s="968">
        <v>12147202</v>
      </c>
    </row>
    <row r="19" spans="1:5">
      <c r="A19" s="665" t="s">
        <v>296</v>
      </c>
      <c r="C19" s="967"/>
      <c r="D19" s="591"/>
      <c r="E19" s="969"/>
    </row>
    <row r="20" spans="1:5">
      <c r="A20" s="665">
        <v>2</v>
      </c>
      <c r="B20" s="662" t="s">
        <v>1355</v>
      </c>
      <c r="D20" s="591"/>
      <c r="E20" s="670">
        <f>SUM(E16:E19)</f>
        <v>12363358</v>
      </c>
    </row>
    <row r="21" spans="1:5">
      <c r="A21" s="663"/>
      <c r="B21" s="662"/>
      <c r="C21" s="668"/>
      <c r="D21" s="591"/>
    </row>
    <row r="22" spans="1:5">
      <c r="A22" s="663"/>
      <c r="B22" s="662"/>
      <c r="C22" s="668"/>
      <c r="D22" s="591"/>
    </row>
    <row r="23" spans="1:5">
      <c r="A23" s="663"/>
      <c r="B23" s="662" t="s">
        <v>1368</v>
      </c>
      <c r="D23" s="591"/>
      <c r="E23" s="664"/>
    </row>
    <row r="24" spans="1:5">
      <c r="A24" s="665" t="s">
        <v>387</v>
      </c>
      <c r="C24" s="952" t="s">
        <v>1768</v>
      </c>
      <c r="D24" s="591"/>
      <c r="E24" s="968">
        <v>7271143</v>
      </c>
    </row>
    <row r="25" spans="1:5">
      <c r="A25" s="665" t="s">
        <v>388</v>
      </c>
      <c r="C25" s="952" t="s">
        <v>1769</v>
      </c>
      <c r="D25" s="591"/>
      <c r="E25" s="968">
        <v>21790</v>
      </c>
    </row>
    <row r="26" spans="1:5">
      <c r="A26" s="665" t="s">
        <v>389</v>
      </c>
      <c r="C26" s="952"/>
      <c r="D26" s="591"/>
      <c r="E26" s="968"/>
    </row>
    <row r="27" spans="1:5">
      <c r="A27" s="665" t="s">
        <v>296</v>
      </c>
      <c r="C27" s="967"/>
      <c r="D27" s="591"/>
      <c r="E27" s="969"/>
    </row>
    <row r="28" spans="1:5">
      <c r="A28" s="665">
        <v>3</v>
      </c>
      <c r="B28" s="662" t="s">
        <v>1358</v>
      </c>
      <c r="D28" s="591"/>
      <c r="E28" s="670">
        <f>SUM(E24:E27)</f>
        <v>7292933</v>
      </c>
    </row>
    <row r="29" spans="1:5">
      <c r="A29" s="665"/>
      <c r="D29" s="591"/>
    </row>
    <row r="30" spans="1:5">
      <c r="A30" s="665">
        <v>4</v>
      </c>
      <c r="B30" s="662" t="s">
        <v>1359</v>
      </c>
      <c r="D30" s="591"/>
      <c r="E30" s="671">
        <f>E12+E20+E28</f>
        <v>33539632</v>
      </c>
    </row>
    <row r="31" spans="1:5">
      <c r="A31" s="665"/>
      <c r="C31" s="672"/>
      <c r="D31" s="591"/>
    </row>
    <row r="32" spans="1:5">
      <c r="A32" s="665"/>
      <c r="B32" s="662" t="s">
        <v>1401</v>
      </c>
      <c r="D32" s="591"/>
    </row>
    <row r="33" spans="1:7">
      <c r="A33" s="665" t="s">
        <v>1361</v>
      </c>
      <c r="C33" s="952" t="s">
        <v>1763</v>
      </c>
      <c r="D33" s="591"/>
      <c r="E33" s="968">
        <v>139550362</v>
      </c>
    </row>
    <row r="34" spans="1:7">
      <c r="A34" s="665" t="s">
        <v>1362</v>
      </c>
      <c r="C34" s="952" t="s">
        <v>1770</v>
      </c>
      <c r="D34" s="591"/>
      <c r="E34" s="968">
        <v>977426</v>
      </c>
    </row>
    <row r="35" spans="1:7">
      <c r="A35" s="665" t="s">
        <v>1363</v>
      </c>
      <c r="C35" s="952"/>
      <c r="D35" s="591"/>
      <c r="E35" s="968"/>
    </row>
    <row r="36" spans="1:7">
      <c r="A36" s="665" t="s">
        <v>296</v>
      </c>
      <c r="C36" s="967"/>
      <c r="D36" s="591"/>
      <c r="E36" s="968"/>
    </row>
    <row r="37" spans="1:7">
      <c r="A37" s="665">
        <v>5</v>
      </c>
      <c r="B37" s="662" t="s">
        <v>1393</v>
      </c>
      <c r="C37" s="651"/>
      <c r="D37" s="591"/>
      <c r="E37" s="670">
        <f>SUM(E33:E36)</f>
        <v>140527788</v>
      </c>
    </row>
    <row r="38" spans="1:7">
      <c r="A38" s="665"/>
      <c r="C38" s="591"/>
      <c r="D38" s="591"/>
      <c r="E38" s="670"/>
    </row>
    <row r="39" spans="1:7">
      <c r="A39" s="665">
        <v>6</v>
      </c>
      <c r="B39" s="651" t="s">
        <v>1364</v>
      </c>
      <c r="C39" s="673"/>
      <c r="D39" s="591"/>
      <c r="E39" s="670">
        <f>E37+E30</f>
        <v>174067420</v>
      </c>
    </row>
    <row r="40" spans="1:7">
      <c r="A40" s="665">
        <f>A39+1</f>
        <v>7</v>
      </c>
      <c r="B40" s="651" t="s">
        <v>1366</v>
      </c>
      <c r="C40" s="673"/>
      <c r="D40" s="674"/>
      <c r="E40" s="1079">
        <v>174067420</v>
      </c>
      <c r="F40" s="675"/>
      <c r="G40" s="675"/>
    </row>
    <row r="41" spans="1:7">
      <c r="A41" s="665">
        <f>A40+1</f>
        <v>8</v>
      </c>
      <c r="B41" s="591"/>
      <c r="C41" s="676" t="s">
        <v>1365</v>
      </c>
      <c r="D41" s="676"/>
      <c r="E41" s="537">
        <f>+E39-E40</f>
        <v>0</v>
      </c>
      <c r="F41" s="677"/>
      <c r="G41" s="675"/>
    </row>
    <row r="42" spans="1:7">
      <c r="A42" s="665"/>
      <c r="B42" s="591"/>
      <c r="C42" s="676"/>
      <c r="D42" s="676"/>
      <c r="E42" s="537"/>
      <c r="F42" s="677"/>
      <c r="G42" s="675"/>
    </row>
    <row r="43" spans="1:7">
      <c r="A43" s="665"/>
      <c r="B43" s="651" t="s">
        <v>1400</v>
      </c>
      <c r="C43" s="676"/>
      <c r="D43" s="676"/>
      <c r="E43" s="537"/>
      <c r="F43" s="677"/>
      <c r="G43" s="675"/>
    </row>
    <row r="44" spans="1:7">
      <c r="A44" s="665" t="s">
        <v>1370</v>
      </c>
      <c r="B44" s="591"/>
      <c r="C44" s="680"/>
      <c r="D44" s="676"/>
      <c r="E44" s="681"/>
      <c r="F44" s="677"/>
      <c r="G44" s="675"/>
    </row>
    <row r="45" spans="1:7">
      <c r="A45" s="665" t="s">
        <v>1371</v>
      </c>
      <c r="B45" s="591"/>
      <c r="C45" s="680"/>
      <c r="D45" s="676"/>
      <c r="E45" s="681"/>
      <c r="F45" s="677"/>
      <c r="G45" s="675"/>
    </row>
    <row r="46" spans="1:7">
      <c r="A46" s="665" t="s">
        <v>296</v>
      </c>
      <c r="B46" s="591"/>
      <c r="C46" s="680"/>
      <c r="D46" s="676"/>
      <c r="E46" s="681"/>
      <c r="F46" s="677"/>
      <c r="G46" s="675"/>
    </row>
    <row r="47" spans="1:7">
      <c r="A47" s="665">
        <v>9</v>
      </c>
      <c r="B47" s="591"/>
      <c r="C47" s="676" t="s">
        <v>1396</v>
      </c>
      <c r="D47" s="676"/>
      <c r="E47" s="537">
        <f>SUM(E44:E46)</f>
        <v>0</v>
      </c>
      <c r="F47" s="677"/>
      <c r="G47" s="675"/>
    </row>
    <row r="48" spans="1:7">
      <c r="A48" s="665"/>
      <c r="B48" s="591"/>
      <c r="C48" s="676"/>
      <c r="D48" s="676"/>
      <c r="E48" s="537"/>
      <c r="F48" s="677"/>
      <c r="G48" s="675"/>
    </row>
    <row r="49" spans="1:7">
      <c r="A49" s="665" t="s">
        <v>1394</v>
      </c>
      <c r="B49" s="591"/>
      <c r="C49" s="680"/>
      <c r="D49" s="676"/>
      <c r="E49" s="681"/>
      <c r="F49" s="677"/>
      <c r="G49" s="675"/>
    </row>
    <row r="50" spans="1:7">
      <c r="A50" s="665" t="s">
        <v>1395</v>
      </c>
      <c r="B50" s="591"/>
      <c r="C50" s="680"/>
      <c r="D50" s="676"/>
      <c r="E50" s="681"/>
      <c r="F50" s="677"/>
      <c r="G50" s="675"/>
    </row>
    <row r="51" spans="1:7">
      <c r="A51" s="665" t="s">
        <v>296</v>
      </c>
      <c r="B51" s="591"/>
      <c r="C51" s="680"/>
      <c r="D51" s="676"/>
      <c r="E51" s="681"/>
      <c r="F51" s="677"/>
      <c r="G51" s="675"/>
    </row>
    <row r="52" spans="1:7">
      <c r="A52" s="665">
        <v>10</v>
      </c>
      <c r="B52" s="591"/>
      <c r="C52" s="676" t="s">
        <v>1397</v>
      </c>
      <c r="D52" s="676"/>
      <c r="E52" s="537">
        <f>SUM(E49:E51)</f>
        <v>0</v>
      </c>
      <c r="F52" s="677"/>
      <c r="G52" s="675"/>
    </row>
    <row r="53" spans="1:7">
      <c r="A53" s="665"/>
      <c r="B53" s="591"/>
      <c r="C53" s="676"/>
      <c r="D53" s="676"/>
      <c r="E53" s="537"/>
      <c r="F53" s="677"/>
      <c r="G53" s="675"/>
    </row>
    <row r="54" spans="1:7">
      <c r="A54" s="665"/>
      <c r="B54" s="591"/>
      <c r="C54" s="676"/>
      <c r="D54" s="676"/>
      <c r="E54" s="537"/>
      <c r="F54" s="677"/>
      <c r="G54" s="675"/>
    </row>
    <row r="55" spans="1:7">
      <c r="B55" s="678" t="s">
        <v>1345</v>
      </c>
      <c r="C55" s="591"/>
      <c r="D55" s="591"/>
      <c r="E55" s="679"/>
      <c r="F55" s="591"/>
      <c r="G55" s="591"/>
    </row>
    <row r="56" spans="1:7">
      <c r="B56" s="591" t="s">
        <v>58</v>
      </c>
      <c r="C56" s="676" t="s">
        <v>1346</v>
      </c>
      <c r="D56" s="591"/>
      <c r="E56" s="679"/>
      <c r="F56" s="591"/>
      <c r="G56" s="591"/>
    </row>
    <row r="57" spans="1:7">
      <c r="B57" s="591"/>
      <c r="C57" s="676" t="s">
        <v>1347</v>
      </c>
      <c r="D57" s="591"/>
      <c r="E57" s="679"/>
      <c r="F57" s="591"/>
      <c r="G57" s="591"/>
    </row>
    <row r="58" spans="1:7">
      <c r="B58" s="591" t="s">
        <v>59</v>
      </c>
      <c r="C58" s="676" t="s">
        <v>1348</v>
      </c>
      <c r="D58" s="591"/>
      <c r="E58" s="679"/>
      <c r="F58" s="591"/>
      <c r="G58" s="591"/>
    </row>
    <row r="59" spans="1:7">
      <c r="B59" s="591"/>
      <c r="C59" s="676" t="s">
        <v>1347</v>
      </c>
      <c r="D59" s="591"/>
      <c r="E59" s="679"/>
      <c r="F59" s="591"/>
      <c r="G59" s="591"/>
    </row>
    <row r="60" spans="1:7">
      <c r="B60" s="591" t="s">
        <v>60</v>
      </c>
      <c r="C60" s="676" t="s">
        <v>1349</v>
      </c>
      <c r="D60" s="591"/>
      <c r="E60" s="679"/>
      <c r="F60" s="591"/>
      <c r="G60" s="591"/>
    </row>
    <row r="61" spans="1:7">
      <c r="B61" s="591" t="s">
        <v>61</v>
      </c>
      <c r="C61" s="676" t="s">
        <v>1350</v>
      </c>
      <c r="D61" s="591"/>
      <c r="E61" s="679"/>
      <c r="F61" s="591"/>
      <c r="G61" s="591"/>
    </row>
    <row r="62" spans="1:7">
      <c r="B62" s="591"/>
      <c r="C62" s="676" t="s">
        <v>1351</v>
      </c>
      <c r="D62" s="591"/>
      <c r="E62" s="679"/>
      <c r="F62" s="591"/>
      <c r="G62" s="591"/>
    </row>
    <row r="63" spans="1:7">
      <c r="B63" s="591"/>
      <c r="C63" s="676" t="s">
        <v>1352</v>
      </c>
    </row>
    <row r="64" spans="1:7">
      <c r="B64" s="591" t="s">
        <v>62</v>
      </c>
      <c r="C64" s="676" t="s">
        <v>1353</v>
      </c>
    </row>
  </sheetData>
  <mergeCells count="2">
    <mergeCell ref="A1:H1"/>
    <mergeCell ref="A2:H2"/>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A93"/>
  <sheetViews>
    <sheetView view="pageBreakPreview" topLeftCell="A19" zoomScale="70" zoomScaleNormal="100" zoomScaleSheetLayoutView="70" workbookViewId="0">
      <selection activeCell="V70" sqref="V70"/>
    </sheetView>
  </sheetViews>
  <sheetFormatPr defaultColWidth="8.84375" defaultRowHeight="13"/>
  <cols>
    <col min="1" max="1" width="4" style="21" customWidth="1"/>
    <col min="2" max="2" width="23.84375" style="21" customWidth="1"/>
    <col min="3" max="3" width="13.07421875" style="21" customWidth="1"/>
    <col min="4" max="4" width="11.07421875" style="21" customWidth="1"/>
    <col min="5" max="5" width="9.4609375" style="21" customWidth="1"/>
    <col min="6" max="6" width="7.84375" style="21" customWidth="1"/>
    <col min="7" max="7" width="10.4609375" style="21" customWidth="1"/>
    <col min="8" max="16" width="7.84375" style="21" customWidth="1"/>
    <col min="17" max="17" width="10.69140625" style="21" bestFit="1" customWidth="1"/>
    <col min="18" max="16384" width="8.84375" style="21"/>
  </cols>
  <sheetData>
    <row r="1" spans="1:27">
      <c r="E1" s="151" t="s">
        <v>193</v>
      </c>
      <c r="I1" s="327" t="s">
        <v>419</v>
      </c>
    </row>
    <row r="2" spans="1:27">
      <c r="E2" s="281" t="s">
        <v>405</v>
      </c>
    </row>
    <row r="3" spans="1:27">
      <c r="E3" s="24" t="str">
        <f>+'Attachment H-7'!D5</f>
        <v>PECO Energy Company</v>
      </c>
    </row>
    <row r="4" spans="1:27">
      <c r="I4" s="24"/>
    </row>
    <row r="5" spans="1:27">
      <c r="F5" s="62"/>
      <c r="G5" s="62"/>
      <c r="H5" s="62"/>
      <c r="I5" s="24"/>
    </row>
    <row r="6" spans="1:27" ht="11" customHeight="1">
      <c r="E6" s="682"/>
      <c r="F6" s="683"/>
      <c r="G6" s="684"/>
      <c r="H6" s="683"/>
    </row>
    <row r="7" spans="1:27" ht="53.5" customHeight="1">
      <c r="A7" s="685"/>
      <c r="B7" s="686"/>
      <c r="C7" s="687" t="s">
        <v>669</v>
      </c>
      <c r="D7" s="687"/>
      <c r="E7" s="688" t="s">
        <v>911</v>
      </c>
      <c r="F7" s="689"/>
      <c r="G7" s="689"/>
      <c r="H7" s="689"/>
      <c r="S7" s="62"/>
      <c r="T7" s="62"/>
      <c r="U7" s="62"/>
      <c r="V7" s="62"/>
      <c r="W7" s="62"/>
      <c r="X7" s="62"/>
      <c r="Y7" s="62"/>
      <c r="Z7" s="62"/>
      <c r="AA7" s="62"/>
    </row>
    <row r="8" spans="1:27" ht="15.5">
      <c r="A8" s="685">
        <v>1</v>
      </c>
      <c r="B8" s="690"/>
      <c r="C8" s="21" t="s">
        <v>84</v>
      </c>
      <c r="D8" s="691"/>
      <c r="E8" s="1081">
        <v>2.8E-3</v>
      </c>
      <c r="F8" s="692"/>
      <c r="G8" s="693"/>
      <c r="H8" s="693"/>
      <c r="S8" s="694"/>
      <c r="T8" s="694"/>
      <c r="U8" s="694"/>
      <c r="V8" s="695"/>
      <c r="W8" s="683"/>
      <c r="X8" s="684"/>
      <c r="Y8" s="683"/>
      <c r="Z8" s="694"/>
      <c r="AA8" s="62"/>
    </row>
    <row r="9" spans="1:27" ht="15.5">
      <c r="A9" s="685">
        <v>2</v>
      </c>
      <c r="B9" s="690"/>
      <c r="C9" s="21" t="s">
        <v>83</v>
      </c>
      <c r="D9" s="691"/>
      <c r="E9" s="1081">
        <v>2.5000000000000001E-3</v>
      </c>
      <c r="F9" s="692"/>
      <c r="G9" s="693"/>
      <c r="H9" s="693"/>
      <c r="S9" s="694"/>
      <c r="T9" s="696"/>
      <c r="U9" s="696"/>
      <c r="V9" s="689"/>
      <c r="W9" s="689"/>
      <c r="X9" s="689"/>
      <c r="Y9" s="689"/>
      <c r="Z9" s="689"/>
      <c r="AA9" s="62"/>
    </row>
    <row r="10" spans="1:27" ht="15.5">
      <c r="A10" s="685">
        <v>3</v>
      </c>
      <c r="B10" s="690"/>
      <c r="C10" s="21" t="s">
        <v>82</v>
      </c>
      <c r="D10" s="691"/>
      <c r="E10" s="1081">
        <v>2.8E-3</v>
      </c>
      <c r="F10" s="692"/>
      <c r="G10" s="693"/>
      <c r="H10" s="693"/>
      <c r="S10" s="694"/>
      <c r="T10" s="696"/>
      <c r="U10" s="696"/>
      <c r="V10" s="692"/>
      <c r="W10" s="692"/>
      <c r="X10" s="697"/>
      <c r="Y10" s="697"/>
      <c r="Z10" s="697"/>
      <c r="AA10" s="62"/>
    </row>
    <row r="11" spans="1:27" ht="15.5">
      <c r="A11" s="685">
        <v>4</v>
      </c>
      <c r="B11" s="690"/>
      <c r="C11" s="21" t="s">
        <v>74</v>
      </c>
      <c r="D11" s="691"/>
      <c r="E11" s="1081">
        <v>2.7000000000000001E-3</v>
      </c>
      <c r="F11" s="692"/>
      <c r="G11" s="693"/>
      <c r="H11" s="693"/>
      <c r="S11" s="694"/>
      <c r="T11" s="696"/>
      <c r="U11" s="696"/>
      <c r="V11" s="692"/>
      <c r="W11" s="692"/>
      <c r="X11" s="697"/>
      <c r="Y11" s="697"/>
      <c r="Z11" s="697"/>
      <c r="AA11" s="62"/>
    </row>
    <row r="12" spans="1:27" ht="15.75" customHeight="1">
      <c r="A12" s="685">
        <v>5</v>
      </c>
      <c r="B12" s="690"/>
      <c r="C12" s="21" t="s">
        <v>73</v>
      </c>
      <c r="D12" s="691"/>
      <c r="E12" s="1081">
        <v>2.8E-3</v>
      </c>
      <c r="F12" s="692"/>
      <c r="G12" s="693"/>
      <c r="H12" s="693"/>
      <c r="S12" s="694"/>
      <c r="T12" s="696"/>
      <c r="U12" s="696"/>
      <c r="V12" s="692"/>
      <c r="W12" s="692"/>
      <c r="X12" s="697"/>
      <c r="Y12" s="697"/>
      <c r="Z12" s="697"/>
      <c r="AA12" s="62"/>
    </row>
    <row r="13" spans="1:27" ht="15.5">
      <c r="A13" s="685">
        <v>6</v>
      </c>
      <c r="B13" s="690"/>
      <c r="C13" s="21" t="s">
        <v>93</v>
      </c>
      <c r="D13" s="691"/>
      <c r="E13" s="1081">
        <v>2.7000000000000001E-3</v>
      </c>
      <c r="F13" s="692"/>
      <c r="G13" s="693"/>
      <c r="H13" s="693"/>
      <c r="S13" s="694"/>
      <c r="T13" s="696"/>
      <c r="U13" s="696"/>
      <c r="V13" s="692"/>
      <c r="W13" s="692"/>
      <c r="X13" s="697"/>
      <c r="Y13" s="697"/>
      <c r="Z13" s="697"/>
      <c r="AA13" s="62"/>
    </row>
    <row r="14" spans="1:27" ht="15.5">
      <c r="A14" s="685">
        <v>7</v>
      </c>
      <c r="B14" s="690"/>
      <c r="C14" s="21" t="s">
        <v>81</v>
      </c>
      <c r="D14" s="691"/>
      <c r="E14" s="1081">
        <v>2.8E-3</v>
      </c>
      <c r="F14" s="692"/>
      <c r="G14" s="693"/>
      <c r="H14" s="693"/>
      <c r="S14" s="694"/>
      <c r="T14" s="694"/>
      <c r="U14" s="694"/>
      <c r="V14" s="694"/>
      <c r="W14" s="694"/>
      <c r="X14" s="694"/>
      <c r="Y14" s="694"/>
      <c r="Z14" s="694"/>
      <c r="AA14" s="62"/>
    </row>
    <row r="15" spans="1:27" ht="15.5">
      <c r="A15" s="685">
        <v>8</v>
      </c>
      <c r="B15" s="690"/>
      <c r="C15" s="21" t="s">
        <v>80</v>
      </c>
      <c r="D15" s="691"/>
      <c r="E15" s="1081">
        <v>2.8E-3</v>
      </c>
      <c r="F15" s="692"/>
      <c r="G15" s="693"/>
      <c r="H15" s="693"/>
      <c r="S15" s="694"/>
      <c r="T15" s="694"/>
      <c r="U15" s="694"/>
      <c r="V15" s="694"/>
      <c r="W15" s="694"/>
      <c r="X15" s="694"/>
      <c r="Y15" s="694"/>
      <c r="Z15" s="694"/>
      <c r="AA15" s="62"/>
    </row>
    <row r="16" spans="1:27" ht="15.5">
      <c r="A16" s="685">
        <v>9</v>
      </c>
      <c r="B16" s="690"/>
      <c r="C16" s="21" t="s">
        <v>79</v>
      </c>
      <c r="D16" s="691"/>
      <c r="E16" s="1081">
        <v>2.7000000000000001E-3</v>
      </c>
      <c r="F16" s="692"/>
      <c r="G16" s="693"/>
      <c r="H16" s="693"/>
      <c r="S16" s="694"/>
      <c r="T16" s="694"/>
      <c r="U16" s="694"/>
      <c r="V16" s="694"/>
      <c r="W16" s="694"/>
      <c r="X16" s="694"/>
      <c r="Y16" s="694"/>
      <c r="Z16" s="694"/>
      <c r="AA16" s="62"/>
    </row>
    <row r="17" spans="1:27" ht="15.5">
      <c r="A17" s="685">
        <v>10</v>
      </c>
      <c r="B17" s="690"/>
      <c r="C17" s="21" t="s">
        <v>85</v>
      </c>
      <c r="D17" s="691"/>
      <c r="E17" s="1081">
        <v>2.8E-3</v>
      </c>
      <c r="F17" s="692"/>
      <c r="G17" s="693"/>
      <c r="H17" s="693"/>
      <c r="S17" s="694"/>
      <c r="T17" s="694"/>
      <c r="U17" s="694"/>
      <c r="V17" s="694"/>
      <c r="W17" s="694"/>
      <c r="X17" s="694"/>
      <c r="Y17" s="694"/>
      <c r="Z17" s="694"/>
      <c r="AA17" s="62"/>
    </row>
    <row r="18" spans="1:27" ht="15.5">
      <c r="A18" s="685">
        <v>11</v>
      </c>
      <c r="B18" s="690"/>
      <c r="C18" s="21" t="s">
        <v>78</v>
      </c>
      <c r="D18" s="691"/>
      <c r="E18" s="1081">
        <v>2.7000000000000001E-3</v>
      </c>
      <c r="F18" s="692"/>
      <c r="G18" s="693"/>
      <c r="H18" s="693"/>
      <c r="S18" s="694"/>
      <c r="T18" s="694"/>
      <c r="U18" s="694"/>
      <c r="V18" s="694"/>
      <c r="W18" s="694"/>
      <c r="X18" s="694"/>
      <c r="Y18" s="694"/>
      <c r="Z18" s="694"/>
      <c r="AA18" s="62"/>
    </row>
    <row r="19" spans="1:27" ht="15.5">
      <c r="A19" s="685">
        <v>12</v>
      </c>
      <c r="B19" s="690"/>
      <c r="C19" s="21" t="s">
        <v>77</v>
      </c>
      <c r="D19" s="691"/>
      <c r="E19" s="1081">
        <v>2.8E-3</v>
      </c>
      <c r="F19" s="692"/>
      <c r="G19" s="693"/>
      <c r="H19" s="693"/>
      <c r="S19" s="694"/>
      <c r="T19" s="694"/>
      <c r="U19" s="694"/>
      <c r="V19" s="694"/>
      <c r="W19" s="694"/>
      <c r="X19" s="694"/>
      <c r="Y19" s="694"/>
      <c r="Z19" s="694"/>
      <c r="AA19" s="62"/>
    </row>
    <row r="20" spans="1:27" ht="15.5">
      <c r="A20" s="685">
        <v>13</v>
      </c>
      <c r="B20" s="690"/>
      <c r="C20" s="21" t="s">
        <v>84</v>
      </c>
      <c r="D20" s="691"/>
      <c r="E20" s="1081">
        <v>2.8E-3</v>
      </c>
      <c r="F20" s="692"/>
      <c r="G20" s="693"/>
      <c r="H20" s="693"/>
      <c r="S20" s="694"/>
      <c r="T20" s="694"/>
      <c r="U20" s="694"/>
      <c r="V20" s="694"/>
      <c r="W20" s="694"/>
      <c r="X20" s="694"/>
      <c r="Y20" s="694"/>
      <c r="Z20" s="694"/>
      <c r="AA20" s="62"/>
    </row>
    <row r="21" spans="1:27" ht="15.5">
      <c r="A21" s="685">
        <v>14</v>
      </c>
      <c r="B21" s="690"/>
      <c r="C21" s="21" t="s">
        <v>83</v>
      </c>
      <c r="D21" s="691"/>
      <c r="E21" s="1081">
        <v>2.5000000000000001E-3</v>
      </c>
      <c r="F21" s="692"/>
      <c r="G21" s="693"/>
      <c r="H21" s="693"/>
      <c r="S21" s="694"/>
      <c r="T21" s="694"/>
      <c r="U21" s="694"/>
      <c r="V21" s="694"/>
      <c r="W21" s="694"/>
      <c r="X21" s="694"/>
      <c r="Y21" s="694"/>
      <c r="Z21" s="694"/>
      <c r="AA21" s="62"/>
    </row>
    <row r="22" spans="1:27" ht="15.5">
      <c r="A22" s="685">
        <v>15</v>
      </c>
      <c r="B22" s="690"/>
      <c r="C22" s="21" t="s">
        <v>82</v>
      </c>
      <c r="D22" s="691"/>
      <c r="E22" s="1081">
        <v>2.8E-3</v>
      </c>
      <c r="F22" s="692"/>
      <c r="G22" s="693"/>
      <c r="H22" s="693"/>
      <c r="S22" s="694"/>
      <c r="T22" s="694"/>
      <c r="U22" s="694"/>
      <c r="V22" s="694"/>
      <c r="W22" s="694"/>
      <c r="X22" s="694"/>
      <c r="Y22" s="694"/>
      <c r="Z22" s="694"/>
      <c r="AA22" s="62"/>
    </row>
    <row r="23" spans="1:27" ht="15.5">
      <c r="A23" s="685">
        <v>16</v>
      </c>
      <c r="B23" s="690"/>
      <c r="C23" s="21" t="s">
        <v>74</v>
      </c>
      <c r="D23" s="691"/>
      <c r="E23" s="1081">
        <v>2.7000000000000001E-3</v>
      </c>
      <c r="F23" s="692"/>
      <c r="G23" s="693"/>
      <c r="H23" s="693"/>
      <c r="S23" s="694"/>
      <c r="T23" s="694"/>
      <c r="U23" s="694"/>
      <c r="V23" s="694"/>
      <c r="W23" s="694"/>
      <c r="X23" s="694"/>
      <c r="Y23" s="694"/>
      <c r="Z23" s="694"/>
      <c r="AA23" s="62"/>
    </row>
    <row r="24" spans="1:27" ht="15.5">
      <c r="A24" s="685">
        <v>17</v>
      </c>
      <c r="B24" s="690"/>
      <c r="C24" s="21" t="s">
        <v>73</v>
      </c>
      <c r="D24" s="691"/>
      <c r="E24" s="1081">
        <v>2.8E-3</v>
      </c>
      <c r="F24" s="692"/>
      <c r="G24" s="693"/>
      <c r="H24" s="693"/>
      <c r="S24" s="694"/>
      <c r="T24" s="694"/>
      <c r="U24" s="694"/>
      <c r="V24" s="694"/>
      <c r="W24" s="694"/>
      <c r="X24" s="694"/>
      <c r="Y24" s="694"/>
      <c r="Z24" s="694"/>
      <c r="AA24" s="62"/>
    </row>
    <row r="25" spans="1:27" ht="15.5">
      <c r="A25" s="685"/>
      <c r="B25" s="690"/>
      <c r="C25" s="698"/>
      <c r="D25" s="699"/>
      <c r="E25" s="699"/>
      <c r="F25" s="699"/>
      <c r="G25" s="699"/>
      <c r="H25" s="699"/>
      <c r="S25" s="694"/>
      <c r="T25" s="694"/>
      <c r="U25" s="694"/>
      <c r="V25" s="700"/>
      <c r="W25" s="697"/>
      <c r="X25" s="694"/>
      <c r="Y25" s="694"/>
      <c r="Z25" s="694"/>
      <c r="AA25" s="62"/>
    </row>
    <row r="26" spans="1:27" ht="15.5">
      <c r="A26" s="685">
        <v>18</v>
      </c>
      <c r="B26" s="701" t="s">
        <v>670</v>
      </c>
      <c r="C26" s="238"/>
      <c r="D26" s="699"/>
      <c r="E26" s="702">
        <f>AVERAGE(E8:E24)</f>
        <v>2.7352941176470589E-3</v>
      </c>
      <c r="F26" s="699"/>
      <c r="G26" s="699"/>
      <c r="H26" s="699"/>
      <c r="S26" s="694"/>
      <c r="T26" s="694"/>
      <c r="U26" s="694"/>
      <c r="V26" s="700"/>
      <c r="W26" s="697"/>
      <c r="X26" s="694"/>
      <c r="Y26" s="694"/>
      <c r="Z26" s="694"/>
      <c r="AA26" s="62"/>
    </row>
    <row r="27" spans="1:27" ht="15.5">
      <c r="A27" s="690"/>
      <c r="B27" s="690"/>
      <c r="C27" s="238"/>
      <c r="D27" s="699"/>
      <c r="E27" s="699"/>
      <c r="F27" s="691"/>
      <c r="G27" s="691"/>
      <c r="H27" s="691"/>
      <c r="S27" s="694"/>
      <c r="T27" s="694"/>
      <c r="U27" s="694"/>
      <c r="V27" s="694"/>
      <c r="W27" s="694"/>
      <c r="X27" s="694"/>
      <c r="Y27" s="694"/>
      <c r="Z27" s="694"/>
      <c r="AA27" s="62"/>
    </row>
    <row r="28" spans="1:27" ht="16" thickBot="1">
      <c r="A28" s="703" t="s">
        <v>324</v>
      </c>
      <c r="B28" s="690"/>
      <c r="C28" s="690"/>
      <c r="D28" s="690"/>
      <c r="E28" s="690"/>
      <c r="F28" s="690"/>
      <c r="G28" s="690"/>
      <c r="H28" s="690"/>
      <c r="S28" s="694"/>
      <c r="T28" s="694"/>
      <c r="U28" s="694"/>
      <c r="V28" s="694"/>
      <c r="W28" s="694"/>
      <c r="X28" s="694"/>
      <c r="Y28" s="694"/>
      <c r="Z28" s="694"/>
      <c r="AA28" s="62"/>
    </row>
    <row r="29" spans="1:27" ht="15.5">
      <c r="A29" s="704" t="s">
        <v>58</v>
      </c>
      <c r="B29" s="705" t="s">
        <v>1211</v>
      </c>
      <c r="C29" s="690"/>
      <c r="D29" s="690"/>
      <c r="E29" s="690"/>
      <c r="F29" s="690"/>
      <c r="G29" s="690"/>
      <c r="H29" s="690"/>
      <c r="S29" s="696"/>
      <c r="T29" s="62"/>
      <c r="U29" s="694"/>
      <c r="V29" s="694"/>
      <c r="W29" s="694"/>
      <c r="X29" s="694"/>
      <c r="Y29" s="694"/>
      <c r="Z29" s="694"/>
      <c r="AA29" s="62"/>
    </row>
    <row r="30" spans="1:27" ht="15.5">
      <c r="A30" s="690"/>
      <c r="B30" s="705"/>
      <c r="C30" s="690"/>
      <c r="D30" s="690"/>
      <c r="E30" s="690"/>
      <c r="F30" s="690"/>
      <c r="G30" s="690"/>
      <c r="H30" s="690"/>
      <c r="S30" s="705"/>
      <c r="U30" s="705"/>
      <c r="V30" s="705"/>
      <c r="W30" s="705"/>
      <c r="X30" s="705"/>
      <c r="Y30" s="705"/>
      <c r="Z30" s="705"/>
    </row>
    <row r="31" spans="1:27" ht="15.5">
      <c r="A31" s="690"/>
      <c r="B31" s="705"/>
      <c r="C31" s="690"/>
      <c r="D31" s="690"/>
      <c r="E31" s="690"/>
      <c r="F31" s="690"/>
      <c r="G31" s="690"/>
      <c r="H31" s="690"/>
      <c r="S31" s="705"/>
      <c r="T31" s="705"/>
      <c r="U31" s="705"/>
      <c r="V31" s="705"/>
      <c r="W31" s="705"/>
      <c r="X31" s="705"/>
      <c r="Y31" s="705"/>
      <c r="Z31" s="705"/>
    </row>
    <row r="32" spans="1:27" ht="15.5">
      <c r="A32" s="690"/>
      <c r="B32" s="690"/>
      <c r="C32" s="690"/>
      <c r="D32" s="690"/>
      <c r="E32" s="690"/>
      <c r="F32" s="690"/>
      <c r="G32" s="690"/>
      <c r="H32" s="690"/>
    </row>
    <row r="33" spans="1:17">
      <c r="A33" s="280"/>
      <c r="B33" s="88"/>
      <c r="C33" s="88"/>
      <c r="D33" s="1145"/>
      <c r="E33" s="1145"/>
      <c r="F33" s="89"/>
      <c r="G33" s="89"/>
      <c r="H33" s="706"/>
      <c r="I33" s="89"/>
      <c r="J33" s="89"/>
      <c r="K33" s="89"/>
    </row>
    <row r="34" spans="1:17">
      <c r="A34" s="280">
        <v>19</v>
      </c>
      <c r="B34" s="88" t="s">
        <v>75</v>
      </c>
      <c r="C34" s="1080">
        <v>2022</v>
      </c>
      <c r="D34" s="1145"/>
      <c r="E34" s="1145"/>
      <c r="F34" s="1145"/>
      <c r="G34" s="1145"/>
      <c r="H34" s="706"/>
      <c r="I34" s="1145"/>
      <c r="J34" s="1145"/>
      <c r="K34" s="1145"/>
      <c r="L34" s="1145"/>
    </row>
    <row r="35" spans="1:17">
      <c r="A35" s="280">
        <v>20</v>
      </c>
      <c r="B35" s="88"/>
      <c r="C35" s="88"/>
      <c r="D35" s="89"/>
      <c r="E35" s="89"/>
      <c r="F35" s="571"/>
      <c r="G35" s="89"/>
      <c r="H35" s="89"/>
      <c r="I35" s="89"/>
      <c r="J35" s="89"/>
      <c r="K35" s="89"/>
      <c r="L35" s="89"/>
    </row>
    <row r="36" spans="1:17">
      <c r="A36" s="148"/>
      <c r="B36" s="297" t="s">
        <v>58</v>
      </c>
      <c r="C36" s="707" t="s">
        <v>59</v>
      </c>
      <c r="D36" s="707" t="s">
        <v>60</v>
      </c>
      <c r="E36" s="707" t="s">
        <v>61</v>
      </c>
      <c r="F36" s="707" t="s">
        <v>62</v>
      </c>
      <c r="G36" s="708" t="s">
        <v>63</v>
      </c>
      <c r="H36" s="706"/>
      <c r="I36" s="706"/>
      <c r="J36" s="706"/>
      <c r="K36" s="706"/>
      <c r="L36" s="706"/>
      <c r="M36" s="706"/>
      <c r="N36" s="706"/>
      <c r="O36" s="706"/>
      <c r="P36" s="706"/>
      <c r="Q36" s="706"/>
    </row>
    <row r="37" spans="1:17">
      <c r="A37" s="280"/>
      <c r="B37" s="709"/>
      <c r="C37" s="706"/>
      <c r="D37" s="706"/>
      <c r="E37" s="706"/>
      <c r="F37" s="706"/>
      <c r="G37" s="710"/>
      <c r="H37" s="706"/>
      <c r="I37" s="89"/>
      <c r="J37" s="706"/>
      <c r="K37" s="89"/>
      <c r="L37" s="89"/>
      <c r="M37" s="62"/>
      <c r="N37" s="62"/>
      <c r="O37" s="62"/>
      <c r="P37" s="62"/>
      <c r="Q37" s="62"/>
    </row>
    <row r="38" spans="1:17">
      <c r="A38" s="280"/>
      <c r="B38" s="296"/>
      <c r="C38" s="706"/>
      <c r="D38" s="706"/>
      <c r="E38" s="706"/>
      <c r="F38" s="706"/>
      <c r="G38" s="711"/>
      <c r="H38" s="706"/>
      <c r="I38" s="706"/>
      <c r="J38" s="706"/>
      <c r="K38" s="706"/>
      <c r="L38" s="706"/>
      <c r="M38" s="706"/>
      <c r="N38" s="706"/>
      <c r="O38" s="706"/>
      <c r="P38" s="706"/>
      <c r="Q38" s="706"/>
    </row>
    <row r="39" spans="1:17" ht="39">
      <c r="A39" s="280"/>
      <c r="B39" s="222" t="s">
        <v>426</v>
      </c>
      <c r="C39" s="712" t="s">
        <v>446</v>
      </c>
      <c r="D39" s="713" t="s">
        <v>11</v>
      </c>
      <c r="E39" s="706" t="s">
        <v>674</v>
      </c>
      <c r="F39" s="712" t="s">
        <v>351</v>
      </c>
      <c r="G39" s="714" t="s">
        <v>297</v>
      </c>
      <c r="H39" s="62"/>
      <c r="I39" s="62"/>
      <c r="J39" s="62"/>
      <c r="K39" s="62"/>
      <c r="L39" s="62"/>
      <c r="M39" s="62"/>
      <c r="N39" s="62"/>
      <c r="O39" s="62"/>
      <c r="P39" s="706"/>
      <c r="Q39" s="706"/>
    </row>
    <row r="40" spans="1:17" ht="30" customHeight="1">
      <c r="A40" s="280"/>
      <c r="B40" s="296"/>
      <c r="C40" s="706"/>
      <c r="D40" s="713" t="s">
        <v>773</v>
      </c>
      <c r="E40" s="706"/>
      <c r="F40" s="713" t="s">
        <v>675</v>
      </c>
      <c r="G40" s="715" t="s">
        <v>676</v>
      </c>
      <c r="H40" s="706"/>
      <c r="I40" s="706"/>
      <c r="J40" s="706"/>
      <c r="K40" s="706"/>
      <c r="L40" s="706"/>
      <c r="M40" s="706"/>
      <c r="N40" s="706"/>
      <c r="O40" s="706"/>
      <c r="P40" s="706"/>
      <c r="Q40" s="706"/>
    </row>
    <row r="41" spans="1:17">
      <c r="A41" s="280">
        <v>21</v>
      </c>
      <c r="B41" s="709" t="str">
        <f>+'1-Project Rev Req'!C66</f>
        <v xml:space="preserve">Zonal </v>
      </c>
      <c r="C41" s="89" t="str">
        <f>+'1-Project Rev Req'!D66</f>
        <v>Zonal</v>
      </c>
      <c r="D41" s="56">
        <f>+'3-Project True-up'!H18+'3-Project True-up'!I18</f>
        <v>13658188.108482987</v>
      </c>
      <c r="E41" s="56">
        <v>17</v>
      </c>
      <c r="F41" s="976">
        <f>+E26</f>
        <v>2.7352941176470589E-3</v>
      </c>
      <c r="G41" s="717">
        <f>+D41*E41*F41</f>
        <v>635105.74704445887</v>
      </c>
      <c r="H41" s="716"/>
      <c r="I41" s="178"/>
      <c r="J41" s="178"/>
      <c r="K41" s="178"/>
      <c r="L41" s="178"/>
      <c r="M41" s="62"/>
      <c r="N41" s="62"/>
      <c r="O41" s="62"/>
      <c r="P41" s="62"/>
      <c r="Q41" s="62"/>
    </row>
    <row r="42" spans="1:17">
      <c r="A42" s="280" t="s">
        <v>671</v>
      </c>
      <c r="B42" s="970" t="s">
        <v>1177</v>
      </c>
      <c r="C42" s="971" t="s">
        <v>720</v>
      </c>
      <c r="D42" s="56">
        <f>+'3-Project True-up'!H19+'3-Project True-up'!I19</f>
        <v>818644.00449558103</v>
      </c>
      <c r="E42" s="56">
        <v>17</v>
      </c>
      <c r="F42" s="976">
        <f>+F41</f>
        <v>2.7352941176470589E-3</v>
      </c>
      <c r="G42" s="717">
        <f t="shared" ref="G42:G65" si="0">+D42*E42*F42</f>
        <v>38066.946209044523</v>
      </c>
      <c r="H42" s="716"/>
      <c r="I42" s="89"/>
      <c r="J42" s="716"/>
      <c r="K42" s="178"/>
      <c r="L42" s="178"/>
      <c r="M42" s="62"/>
      <c r="N42" s="62"/>
      <c r="O42" s="62"/>
      <c r="P42" s="59"/>
      <c r="Q42" s="718"/>
    </row>
    <row r="43" spans="1:17">
      <c r="A43" s="280" t="s">
        <v>672</v>
      </c>
      <c r="B43" s="970" t="s">
        <v>1177</v>
      </c>
      <c r="C43" s="971" t="s">
        <v>1620</v>
      </c>
      <c r="D43" s="56">
        <f>+'3-Project True-up'!H20+'3-Project True-up'!I20</f>
        <v>-312586.34194535186</v>
      </c>
      <c r="E43" s="56">
        <v>17</v>
      </c>
      <c r="F43" s="976">
        <f t="shared" ref="F43:F67" si="1">+F42</f>
        <v>2.7352941176470589E-3</v>
      </c>
      <c r="G43" s="717">
        <f t="shared" si="0"/>
        <v>-14535.264900458862</v>
      </c>
      <c r="H43" s="716"/>
      <c r="I43" s="89"/>
      <c r="J43" s="716"/>
      <c r="K43" s="178"/>
      <c r="L43" s="178"/>
      <c r="M43" s="62"/>
      <c r="N43" s="62"/>
      <c r="O43" s="62"/>
      <c r="P43" s="59"/>
      <c r="Q43" s="718"/>
    </row>
    <row r="44" spans="1:17">
      <c r="A44" s="280" t="s">
        <v>673</v>
      </c>
      <c r="B44" s="970" t="s">
        <v>802</v>
      </c>
      <c r="C44" s="971" t="s">
        <v>722</v>
      </c>
      <c r="D44" s="56">
        <f>+'3-Project True-up'!H21+'3-Project True-up'!I21</f>
        <v>61798.548380793487</v>
      </c>
      <c r="E44" s="56">
        <v>17</v>
      </c>
      <c r="F44" s="976">
        <f t="shared" si="1"/>
        <v>2.7352941176470589E-3</v>
      </c>
      <c r="G44" s="717">
        <f t="shared" si="0"/>
        <v>2873.6324997068969</v>
      </c>
      <c r="H44" s="716"/>
      <c r="I44" s="89"/>
      <c r="J44" s="716"/>
      <c r="K44" s="178"/>
      <c r="L44" s="178"/>
      <c r="M44" s="62"/>
      <c r="N44" s="62"/>
      <c r="O44" s="62"/>
      <c r="P44" s="59"/>
      <c r="Q44" s="718"/>
    </row>
    <row r="45" spans="1:17">
      <c r="A45" s="280" t="s">
        <v>1516</v>
      </c>
      <c r="B45" s="970" t="s">
        <v>802</v>
      </c>
      <c r="C45" s="971" t="s">
        <v>1555</v>
      </c>
      <c r="D45" s="56">
        <f>+'3-Project True-up'!H22+'3-Project True-up'!I22</f>
        <v>11634.722041538871</v>
      </c>
      <c r="E45" s="56">
        <v>17</v>
      </c>
      <c r="F45" s="976">
        <f t="shared" si="1"/>
        <v>2.7352941176470589E-3</v>
      </c>
      <c r="G45" s="717">
        <f t="shared" si="0"/>
        <v>541.01457493155749</v>
      </c>
      <c r="H45" s="716"/>
      <c r="I45" s="89"/>
      <c r="J45" s="716"/>
      <c r="K45" s="178"/>
      <c r="L45" s="178"/>
      <c r="M45" s="62"/>
      <c r="N45" s="62"/>
      <c r="O45" s="62"/>
      <c r="P45" s="59"/>
      <c r="Q45" s="718"/>
    </row>
    <row r="46" spans="1:17">
      <c r="A46" s="280" t="s">
        <v>1517</v>
      </c>
      <c r="B46" s="970" t="s">
        <v>803</v>
      </c>
      <c r="C46" s="971" t="s">
        <v>723</v>
      </c>
      <c r="D46" s="56">
        <f>+'3-Project True-up'!H23+'3-Project True-up'!I23</f>
        <v>29250.746419422132</v>
      </c>
      <c r="E46" s="56">
        <v>17</v>
      </c>
      <c r="F46" s="976">
        <f t="shared" si="1"/>
        <v>2.7352941176470589E-3</v>
      </c>
      <c r="G46" s="717">
        <f t="shared" si="0"/>
        <v>1360.1597085031292</v>
      </c>
      <c r="H46" s="716"/>
      <c r="I46" s="89"/>
      <c r="J46" s="716"/>
      <c r="K46" s="178"/>
      <c r="L46" s="178"/>
      <c r="M46" s="62"/>
      <c r="N46" s="62"/>
      <c r="O46" s="62"/>
      <c r="P46" s="59"/>
      <c r="Q46" s="718"/>
    </row>
    <row r="47" spans="1:17">
      <c r="A47" s="280" t="s">
        <v>1518</v>
      </c>
      <c r="B47" s="970" t="s">
        <v>804</v>
      </c>
      <c r="C47" s="971" t="s">
        <v>724</v>
      </c>
      <c r="D47" s="56">
        <f>+'3-Project True-up'!H24+'3-Project True-up'!I24</f>
        <v>39821.489817702066</v>
      </c>
      <c r="E47" s="56">
        <v>17</v>
      </c>
      <c r="F47" s="976">
        <f t="shared" si="1"/>
        <v>2.7352941176470589E-3</v>
      </c>
      <c r="G47" s="717">
        <f t="shared" si="0"/>
        <v>1851.6992765231462</v>
      </c>
      <c r="H47" s="716"/>
      <c r="I47" s="89"/>
      <c r="J47" s="716"/>
      <c r="K47" s="178"/>
      <c r="L47" s="178"/>
      <c r="M47" s="62"/>
      <c r="N47" s="62"/>
      <c r="O47" s="62"/>
      <c r="P47" s="59"/>
      <c r="Q47" s="718"/>
    </row>
    <row r="48" spans="1:17">
      <c r="A48" s="280" t="s">
        <v>1519</v>
      </c>
      <c r="B48" s="970" t="s">
        <v>805</v>
      </c>
      <c r="C48" s="971" t="s">
        <v>1621</v>
      </c>
      <c r="D48" s="56">
        <f>+'3-Project True-up'!H25+'3-Project True-up'!I25</f>
        <v>132662.43477367098</v>
      </c>
      <c r="E48" s="56">
        <v>17</v>
      </c>
      <c r="F48" s="976">
        <f t="shared" si="1"/>
        <v>2.7352941176470589E-3</v>
      </c>
      <c r="G48" s="717">
        <f t="shared" ref="G48:G57" si="2">+D48*E48*F48</f>
        <v>6168.8032169757007</v>
      </c>
      <c r="H48" s="716"/>
      <c r="I48" s="89"/>
      <c r="J48" s="716"/>
      <c r="K48" s="178"/>
      <c r="L48" s="178"/>
      <c r="M48" s="62"/>
      <c r="N48" s="62"/>
      <c r="O48" s="62"/>
      <c r="P48" s="59"/>
      <c r="Q48" s="718"/>
    </row>
    <row r="49" spans="1:17">
      <c r="A49" s="280" t="s">
        <v>1520</v>
      </c>
      <c r="B49" s="970" t="s">
        <v>883</v>
      </c>
      <c r="C49" s="971" t="s">
        <v>884</v>
      </c>
      <c r="D49" s="56">
        <f>+'3-Project True-up'!H26+'3-Project True-up'!I26</f>
        <v>185306.69831149507</v>
      </c>
      <c r="E49" s="56">
        <v>17</v>
      </c>
      <c r="F49" s="976">
        <f t="shared" si="1"/>
        <v>2.7352941176470589E-3</v>
      </c>
      <c r="G49" s="717">
        <f t="shared" si="2"/>
        <v>8616.7614714845204</v>
      </c>
      <c r="H49" s="716"/>
      <c r="I49" s="89"/>
      <c r="J49" s="716"/>
      <c r="K49" s="178"/>
      <c r="L49" s="178"/>
      <c r="M49" s="62"/>
      <c r="N49" s="62"/>
      <c r="O49" s="62"/>
      <c r="P49" s="59"/>
      <c r="Q49" s="718"/>
    </row>
    <row r="50" spans="1:17">
      <c r="A50" s="280" t="s">
        <v>1521</v>
      </c>
      <c r="B50" s="970" t="s">
        <v>806</v>
      </c>
      <c r="C50" s="971" t="s">
        <v>725</v>
      </c>
      <c r="D50" s="56">
        <f>+'3-Project True-up'!H27+'3-Project True-up'!I27</f>
        <v>214477.93998513644</v>
      </c>
      <c r="E50" s="56">
        <v>17</v>
      </c>
      <c r="F50" s="976">
        <f t="shared" si="1"/>
        <v>2.7352941176470589E-3</v>
      </c>
      <c r="G50" s="717">
        <f t="shared" si="2"/>
        <v>9973.2242093088444</v>
      </c>
      <c r="H50" s="716"/>
      <c r="I50" s="89"/>
      <c r="J50" s="716"/>
      <c r="K50" s="178"/>
      <c r="L50" s="178"/>
      <c r="M50" s="62"/>
      <c r="N50" s="62"/>
      <c r="O50" s="62"/>
      <c r="P50" s="59"/>
      <c r="Q50" s="718"/>
    </row>
    <row r="51" spans="1:17">
      <c r="A51" s="280" t="s">
        <v>1523</v>
      </c>
      <c r="B51" s="970" t="s">
        <v>807</v>
      </c>
      <c r="C51" s="971" t="s">
        <v>726</v>
      </c>
      <c r="D51" s="56">
        <f>+'3-Project True-up'!H28+'3-Project True-up'!I28</f>
        <v>173272.63678452265</v>
      </c>
      <c r="E51" s="56">
        <v>17</v>
      </c>
      <c r="F51" s="976">
        <f t="shared" si="1"/>
        <v>2.7352941176470589E-3</v>
      </c>
      <c r="G51" s="717">
        <f t="shared" si="2"/>
        <v>8057.1776104803039</v>
      </c>
      <c r="H51" s="716"/>
      <c r="I51" s="89"/>
      <c r="J51" s="716"/>
      <c r="K51" s="178"/>
      <c r="L51" s="178"/>
      <c r="M51" s="62"/>
      <c r="N51" s="62"/>
      <c r="O51" s="62"/>
      <c r="P51" s="59"/>
      <c r="Q51" s="718"/>
    </row>
    <row r="52" spans="1:17">
      <c r="A52" s="280" t="s">
        <v>1524</v>
      </c>
      <c r="B52" s="970" t="s">
        <v>808</v>
      </c>
      <c r="C52" s="971" t="s">
        <v>727</v>
      </c>
      <c r="D52" s="56">
        <f>+'3-Project True-up'!H29+'3-Project True-up'!I29</f>
        <v>171822.58226105434</v>
      </c>
      <c r="E52" s="56">
        <v>17</v>
      </c>
      <c r="F52" s="976">
        <f t="shared" si="1"/>
        <v>2.7352941176470589E-3</v>
      </c>
      <c r="G52" s="717">
        <f t="shared" si="2"/>
        <v>7989.7500751390271</v>
      </c>
      <c r="H52" s="716"/>
      <c r="I52" s="89"/>
      <c r="J52" s="716"/>
      <c r="K52" s="178"/>
      <c r="L52" s="178"/>
      <c r="M52" s="62"/>
      <c r="N52" s="62"/>
      <c r="O52" s="62"/>
      <c r="P52" s="59"/>
      <c r="Q52" s="718"/>
    </row>
    <row r="53" spans="1:17">
      <c r="A53" s="280" t="s">
        <v>1525</v>
      </c>
      <c r="B53" s="970" t="s">
        <v>809</v>
      </c>
      <c r="C53" s="971" t="s">
        <v>728</v>
      </c>
      <c r="D53" s="56">
        <f>+'3-Project True-up'!H30+'3-Project True-up'!I30</f>
        <v>114173.65063265261</v>
      </c>
      <c r="E53" s="56">
        <v>17</v>
      </c>
      <c r="F53" s="976">
        <f t="shared" si="1"/>
        <v>2.7352941176470589E-3</v>
      </c>
      <c r="G53" s="717">
        <f t="shared" si="2"/>
        <v>5309.0747544183469</v>
      </c>
      <c r="H53" s="716"/>
      <c r="I53" s="89"/>
      <c r="J53" s="716"/>
      <c r="K53" s="178"/>
      <c r="L53" s="178"/>
      <c r="M53" s="62"/>
      <c r="N53" s="62"/>
      <c r="O53" s="62"/>
      <c r="P53" s="59"/>
      <c r="Q53" s="718"/>
    </row>
    <row r="54" spans="1:17">
      <c r="A54" s="280" t="s">
        <v>1526</v>
      </c>
      <c r="B54" s="970" t="s">
        <v>810</v>
      </c>
      <c r="C54" s="971" t="s">
        <v>729</v>
      </c>
      <c r="D54" s="56">
        <f>+'3-Project True-up'!H31+'3-Project True-up'!I31</f>
        <v>77749.386574467542</v>
      </c>
      <c r="E54" s="56">
        <v>17</v>
      </c>
      <c r="F54" s="976">
        <f t="shared" si="1"/>
        <v>2.7352941176470589E-3</v>
      </c>
      <c r="G54" s="717">
        <f t="shared" si="2"/>
        <v>3615.3464757127408</v>
      </c>
      <c r="H54" s="716"/>
      <c r="I54" s="89"/>
      <c r="J54" s="716"/>
      <c r="K54" s="178"/>
      <c r="L54" s="178"/>
      <c r="M54" s="62"/>
      <c r="N54" s="62"/>
      <c r="O54" s="62"/>
      <c r="P54" s="59"/>
      <c r="Q54" s="718"/>
    </row>
    <row r="55" spans="1:17">
      <c r="A55" s="280" t="s">
        <v>1527</v>
      </c>
      <c r="B55" s="970" t="s">
        <v>1622</v>
      </c>
      <c r="C55" s="971" t="s">
        <v>730</v>
      </c>
      <c r="D55" s="56">
        <f>+'3-Project True-up'!H32+'3-Project True-up'!I32</f>
        <v>15923.286952983806</v>
      </c>
      <c r="E55" s="56">
        <v>17</v>
      </c>
      <c r="F55" s="976">
        <f t="shared" si="1"/>
        <v>2.7352941176470589E-3</v>
      </c>
      <c r="G55" s="717">
        <f t="shared" si="2"/>
        <v>740.43284331374707</v>
      </c>
      <c r="H55" s="716"/>
      <c r="I55" s="89"/>
      <c r="J55" s="716"/>
      <c r="K55" s="178"/>
      <c r="L55" s="178"/>
      <c r="M55" s="62"/>
      <c r="N55" s="62"/>
      <c r="O55" s="62"/>
      <c r="P55" s="59"/>
      <c r="Q55" s="718"/>
    </row>
    <row r="56" spans="1:17">
      <c r="A56" s="280" t="s">
        <v>1522</v>
      </c>
      <c r="B56" s="970" t="s">
        <v>812</v>
      </c>
      <c r="C56" s="971" t="s">
        <v>731</v>
      </c>
      <c r="D56" s="56">
        <f>+'3-Project True-up'!H33+'3-Project True-up'!I33</f>
        <v>20632.973384384099</v>
      </c>
      <c r="E56" s="56">
        <v>17</v>
      </c>
      <c r="F56" s="976">
        <f t="shared" si="1"/>
        <v>2.7352941176470589E-3</v>
      </c>
      <c r="G56" s="717">
        <f t="shared" si="2"/>
        <v>959.43326237386066</v>
      </c>
      <c r="H56" s="716"/>
      <c r="I56" s="89"/>
      <c r="J56" s="716"/>
      <c r="K56" s="178"/>
      <c r="L56" s="178"/>
      <c r="M56" s="62"/>
      <c r="N56" s="62"/>
      <c r="O56" s="62"/>
      <c r="P56" s="59"/>
      <c r="Q56" s="718"/>
    </row>
    <row r="57" spans="1:17">
      <c r="A57" s="280" t="s">
        <v>1528</v>
      </c>
      <c r="B57" s="970" t="s">
        <v>989</v>
      </c>
      <c r="C57" s="971" t="s">
        <v>732</v>
      </c>
      <c r="D57" s="56">
        <f>+'3-Project True-up'!H34+'3-Project True-up'!I34</f>
        <v>23235.844540182727</v>
      </c>
      <c r="E57" s="56">
        <v>17</v>
      </c>
      <c r="F57" s="976">
        <f>+F56</f>
        <v>2.7352941176470589E-3</v>
      </c>
      <c r="G57" s="717">
        <f t="shared" si="2"/>
        <v>1080.4667711184968</v>
      </c>
      <c r="H57" s="716"/>
      <c r="I57" s="89"/>
      <c r="J57" s="716"/>
      <c r="K57" s="178"/>
      <c r="L57" s="178"/>
      <c r="M57" s="62"/>
      <c r="N57" s="62"/>
      <c r="O57" s="62"/>
      <c r="P57" s="59"/>
      <c r="Q57" s="718"/>
    </row>
    <row r="58" spans="1:17">
      <c r="A58" s="280" t="s">
        <v>1529</v>
      </c>
      <c r="B58" s="970" t="s">
        <v>811</v>
      </c>
      <c r="C58" s="971" t="s">
        <v>733</v>
      </c>
      <c r="D58" s="56">
        <f>+'3-Project True-up'!H35+'3-Project True-up'!I35</f>
        <v>21861.062160497233</v>
      </c>
      <c r="E58" s="56">
        <v>17</v>
      </c>
      <c r="F58" s="976">
        <f>+F57</f>
        <v>2.7352941176470589E-3</v>
      </c>
      <c r="G58" s="717">
        <f t="shared" si="0"/>
        <v>1016.5393904631213</v>
      </c>
      <c r="H58" s="716"/>
      <c r="I58" s="62"/>
      <c r="J58" s="62"/>
      <c r="K58" s="178"/>
      <c r="L58" s="178"/>
      <c r="M58" s="62"/>
      <c r="N58" s="62"/>
      <c r="O58" s="62"/>
      <c r="P58" s="59"/>
      <c r="Q58" s="718"/>
    </row>
    <row r="59" spans="1:17">
      <c r="A59" s="280" t="s">
        <v>1530</v>
      </c>
      <c r="B59" s="970" t="s">
        <v>813</v>
      </c>
      <c r="C59" s="971" t="s">
        <v>734</v>
      </c>
      <c r="D59" s="56">
        <f>+'3-Project True-up'!H36+'3-Project True-up'!I36</f>
        <v>31521.437132190713</v>
      </c>
      <c r="E59" s="56">
        <v>17</v>
      </c>
      <c r="F59" s="976">
        <f t="shared" si="1"/>
        <v>2.7352941176470589E-3</v>
      </c>
      <c r="G59" s="717">
        <f t="shared" si="0"/>
        <v>1465.7468266468682</v>
      </c>
      <c r="H59" s="716"/>
      <c r="I59" s="62"/>
      <c r="J59" s="62"/>
      <c r="K59" s="178"/>
      <c r="L59" s="178"/>
      <c r="M59" s="62"/>
      <c r="N59" s="62"/>
      <c r="O59" s="62"/>
      <c r="P59" s="59"/>
      <c r="Q59" s="718"/>
    </row>
    <row r="60" spans="1:17">
      <c r="A60" s="280" t="s">
        <v>1531</v>
      </c>
      <c r="B60" s="970" t="s">
        <v>814</v>
      </c>
      <c r="C60" s="971" t="s">
        <v>735</v>
      </c>
      <c r="D60" s="56">
        <f>+'3-Project True-up'!H37+'3-Project True-up'!I37</f>
        <v>42119.509002206825</v>
      </c>
      <c r="E60" s="56">
        <v>17</v>
      </c>
      <c r="F60" s="976">
        <f t="shared" si="1"/>
        <v>2.7352941176470589E-3</v>
      </c>
      <c r="G60" s="717">
        <f t="shared" si="0"/>
        <v>1958.5571686026174</v>
      </c>
      <c r="H60" s="716"/>
      <c r="I60" s="62"/>
      <c r="J60" s="62"/>
      <c r="K60" s="178"/>
      <c r="L60" s="178"/>
      <c r="M60" s="62"/>
      <c r="N60" s="62"/>
      <c r="O60" s="62"/>
      <c r="P60" s="59"/>
      <c r="Q60" s="718"/>
    </row>
    <row r="61" spans="1:17">
      <c r="A61" s="280" t="s">
        <v>1532</v>
      </c>
      <c r="B61" s="970" t="s">
        <v>815</v>
      </c>
      <c r="C61" s="971" t="s">
        <v>737</v>
      </c>
      <c r="D61" s="56">
        <f>+'3-Project True-up'!H38+'3-Project True-up'!I38</f>
        <v>23746.608538694494</v>
      </c>
      <c r="E61" s="56">
        <v>17</v>
      </c>
      <c r="F61" s="976">
        <f t="shared" si="1"/>
        <v>2.7352941176470589E-3</v>
      </c>
      <c r="G61" s="717">
        <f t="shared" si="0"/>
        <v>1104.2172970492941</v>
      </c>
      <c r="H61" s="716"/>
      <c r="K61" s="178"/>
      <c r="L61" s="178"/>
      <c r="M61" s="62"/>
      <c r="N61" s="62"/>
      <c r="O61" s="62"/>
      <c r="P61" s="59"/>
      <c r="Q61" s="718"/>
    </row>
    <row r="62" spans="1:17">
      <c r="A62" s="280" t="s">
        <v>1533</v>
      </c>
      <c r="B62" s="970" t="s">
        <v>990</v>
      </c>
      <c r="C62" s="971" t="s">
        <v>1623</v>
      </c>
      <c r="D62" s="56">
        <f>+'3-Project True-up'!H39+'3-Project True-up'!I39</f>
        <v>20005.746280410447</v>
      </c>
      <c r="E62" s="56">
        <v>17</v>
      </c>
      <c r="F62" s="976">
        <f t="shared" si="1"/>
        <v>2.7352941176470589E-3</v>
      </c>
      <c r="G62" s="717">
        <f t="shared" si="0"/>
        <v>930.26720203908576</v>
      </c>
      <c r="H62" s="716"/>
      <c r="K62" s="178"/>
      <c r="L62" s="178"/>
      <c r="M62" s="62"/>
      <c r="N62" s="62"/>
      <c r="O62" s="62"/>
      <c r="P62" s="59"/>
      <c r="Q62" s="718"/>
    </row>
    <row r="63" spans="1:17">
      <c r="A63" s="280" t="s">
        <v>1534</v>
      </c>
      <c r="B63" s="970" t="s">
        <v>816</v>
      </c>
      <c r="C63" s="971" t="s">
        <v>738</v>
      </c>
      <c r="D63" s="56">
        <f>+'3-Project True-up'!H40+'3-Project True-up'!I40</f>
        <v>18110.9792451428</v>
      </c>
      <c r="E63" s="56">
        <v>17</v>
      </c>
      <c r="F63" s="976">
        <f t="shared" si="1"/>
        <v>2.7352941176470589E-3</v>
      </c>
      <c r="G63" s="717">
        <f t="shared" si="0"/>
        <v>842.1605348991402</v>
      </c>
      <c r="H63" s="716"/>
      <c r="K63" s="178"/>
      <c r="L63" s="178"/>
      <c r="M63" s="62"/>
      <c r="N63" s="62"/>
      <c r="O63" s="62"/>
      <c r="P63" s="59"/>
      <c r="Q63" s="718"/>
    </row>
    <row r="64" spans="1:17">
      <c r="A64" s="280" t="s">
        <v>1535</v>
      </c>
      <c r="B64" s="970" t="s">
        <v>1178</v>
      </c>
      <c r="C64" s="971" t="s">
        <v>721</v>
      </c>
      <c r="D64" s="56">
        <f>+'3-Project True-up'!H41+'3-Project True-up'!I41</f>
        <v>39968.478211611226</v>
      </c>
      <c r="E64" s="56">
        <v>17</v>
      </c>
      <c r="F64" s="976">
        <f t="shared" si="1"/>
        <v>2.7352941176470589E-3</v>
      </c>
      <c r="G64" s="717">
        <f t="shared" si="0"/>
        <v>1858.5342368399222</v>
      </c>
      <c r="H64" s="716"/>
      <c r="K64" s="178"/>
      <c r="L64" s="178"/>
      <c r="M64" s="62"/>
      <c r="N64" s="62"/>
      <c r="O64" s="62"/>
      <c r="P64" s="59"/>
      <c r="Q64" s="718"/>
    </row>
    <row r="65" spans="1:17">
      <c r="A65" s="280" t="s">
        <v>1536</v>
      </c>
      <c r="B65" s="970" t="s">
        <v>1179</v>
      </c>
      <c r="C65" s="971" t="s">
        <v>736</v>
      </c>
      <c r="D65" s="56">
        <f>+'3-Project True-up'!H42+'3-Project True-up'!I42</f>
        <v>31353.884139912549</v>
      </c>
      <c r="E65" s="56">
        <v>17</v>
      </c>
      <c r="F65" s="976">
        <f t="shared" si="1"/>
        <v>2.7352941176470589E-3</v>
      </c>
      <c r="G65" s="717">
        <f t="shared" si="0"/>
        <v>1457.9556125059335</v>
      </c>
      <c r="H65" s="716"/>
      <c r="K65" s="178"/>
      <c r="L65" s="178"/>
      <c r="M65" s="62"/>
      <c r="N65" s="62"/>
      <c r="O65" s="62"/>
      <c r="P65" s="59"/>
      <c r="Q65" s="718"/>
    </row>
    <row r="66" spans="1:17">
      <c r="A66" s="280" t="s">
        <v>1557</v>
      </c>
      <c r="B66" s="970" t="s">
        <v>1552</v>
      </c>
      <c r="C66" s="971" t="s">
        <v>1553</v>
      </c>
      <c r="D66" s="56">
        <f>+'3-Project True-up'!H43+'3-Project True-up'!I43</f>
        <v>-365948.58848643949</v>
      </c>
      <c r="E66" s="56">
        <v>17</v>
      </c>
      <c r="F66" s="976">
        <f t="shared" si="1"/>
        <v>2.7352941176470589E-3</v>
      </c>
      <c r="G66" s="717">
        <f t="shared" ref="G66" si="3">+D66*E66*F66</f>
        <v>-17016.609364619435</v>
      </c>
      <c r="H66" s="716"/>
      <c r="K66" s="178"/>
      <c r="L66" s="178"/>
      <c r="M66" s="62"/>
      <c r="N66" s="62"/>
      <c r="O66" s="62"/>
      <c r="P66" s="59"/>
      <c r="Q66" s="718"/>
    </row>
    <row r="67" spans="1:17">
      <c r="A67" s="280" t="s">
        <v>1558</v>
      </c>
      <c r="B67" s="970" t="s">
        <v>1564</v>
      </c>
      <c r="C67" s="971" t="s">
        <v>1565</v>
      </c>
      <c r="D67" s="56">
        <f>+'3-Project True-up'!H44+'3-Project True-up'!I44</f>
        <v>-42289.573040241157</v>
      </c>
      <c r="E67" s="56">
        <v>17</v>
      </c>
      <c r="F67" s="976">
        <f t="shared" si="1"/>
        <v>2.7352941176470589E-3</v>
      </c>
      <c r="G67" s="717">
        <f t="shared" ref="G67" si="4">+D67*E67*F67</f>
        <v>-1966.4651463712139</v>
      </c>
      <c r="H67" s="716"/>
      <c r="K67" s="178"/>
      <c r="L67" s="178"/>
      <c r="M67" s="62"/>
      <c r="N67" s="62"/>
      <c r="O67" s="62"/>
      <c r="P67" s="59"/>
      <c r="Q67" s="718"/>
    </row>
    <row r="68" spans="1:17" hidden="1">
      <c r="A68" s="280"/>
      <c r="B68" s="970"/>
      <c r="C68" s="971"/>
      <c r="D68" s="56"/>
      <c r="E68" s="56"/>
      <c r="F68" s="716"/>
      <c r="G68" s="717"/>
      <c r="H68" s="716"/>
      <c r="K68" s="178"/>
      <c r="L68" s="178"/>
      <c r="M68" s="62"/>
      <c r="N68" s="62"/>
      <c r="O68" s="62"/>
      <c r="P68" s="59"/>
      <c r="Q68" s="718"/>
    </row>
    <row r="69" spans="1:17" hidden="1">
      <c r="A69" s="280"/>
      <c r="B69" s="970"/>
      <c r="C69" s="971"/>
      <c r="D69" s="56"/>
      <c r="E69" s="56"/>
      <c r="F69" s="716"/>
      <c r="G69" s="717"/>
      <c r="H69" s="716"/>
      <c r="K69" s="178"/>
      <c r="L69" s="178"/>
      <c r="M69" s="62"/>
      <c r="N69" s="62"/>
      <c r="O69" s="62"/>
      <c r="P69" s="59"/>
      <c r="Q69" s="718"/>
    </row>
    <row r="70" spans="1:17">
      <c r="A70" s="280" t="s">
        <v>296</v>
      </c>
      <c r="B70" s="970"/>
      <c r="C70" s="971"/>
      <c r="D70" s="716"/>
      <c r="E70" s="56"/>
      <c r="F70" s="716"/>
      <c r="G70" s="719"/>
      <c r="H70" s="716"/>
      <c r="K70" s="178"/>
      <c r="L70" s="178"/>
      <c r="M70" s="62"/>
      <c r="N70" s="62"/>
      <c r="O70" s="62"/>
      <c r="P70" s="59"/>
      <c r="Q70" s="718"/>
    </row>
    <row r="71" spans="1:17">
      <c r="A71" s="280"/>
      <c r="B71" s="970"/>
      <c r="C71" s="971"/>
      <c r="D71" s="716"/>
      <c r="E71" s="56"/>
      <c r="F71" s="716"/>
      <c r="G71" s="719"/>
      <c r="H71" s="716"/>
      <c r="K71" s="178"/>
      <c r="L71" s="178"/>
      <c r="M71" s="62"/>
      <c r="N71" s="62"/>
      <c r="O71" s="62"/>
      <c r="P71" s="59"/>
      <c r="Q71" s="718"/>
    </row>
    <row r="72" spans="1:17">
      <c r="A72" s="280"/>
      <c r="B72" s="970"/>
      <c r="C72" s="971"/>
      <c r="D72" s="716"/>
      <c r="E72" s="56"/>
      <c r="F72" s="716"/>
      <c r="G72" s="719"/>
      <c r="H72" s="716"/>
      <c r="K72" s="178"/>
      <c r="L72" s="178"/>
      <c r="M72" s="62"/>
      <c r="N72" s="62"/>
      <c r="O72" s="62"/>
      <c r="P72" s="59"/>
      <c r="Q72" s="718"/>
    </row>
    <row r="73" spans="1:17">
      <c r="A73" s="280"/>
      <c r="B73" s="970"/>
      <c r="C73" s="971"/>
      <c r="D73" s="716"/>
      <c r="E73" s="56"/>
      <c r="F73" s="716"/>
      <c r="G73" s="719"/>
      <c r="H73" s="716"/>
      <c r="K73" s="178"/>
      <c r="L73" s="178"/>
      <c r="M73" s="62"/>
      <c r="N73" s="62"/>
      <c r="O73" s="62"/>
      <c r="P73" s="59"/>
      <c r="Q73" s="718"/>
    </row>
    <row r="74" spans="1:17">
      <c r="A74" s="280"/>
      <c r="B74" s="720"/>
      <c r="C74" s="721"/>
      <c r="D74" s="722"/>
      <c r="E74" s="722"/>
      <c r="F74" s="722"/>
      <c r="G74" s="723"/>
      <c r="H74" s="716"/>
      <c r="K74" s="178"/>
      <c r="L74" s="178"/>
      <c r="M74" s="62"/>
      <c r="N74" s="62"/>
      <c r="O74" s="62"/>
      <c r="P74" s="59"/>
      <c r="Q74" s="718"/>
    </row>
    <row r="75" spans="1:17">
      <c r="A75" s="280"/>
      <c r="B75" s="89"/>
      <c r="C75" s="89"/>
      <c r="D75" s="571"/>
      <c r="E75" s="724"/>
      <c r="F75" s="89"/>
      <c r="G75" s="724"/>
      <c r="H75" s="571"/>
      <c r="K75" s="89"/>
      <c r="L75" s="89"/>
      <c r="M75" s="62"/>
      <c r="N75" s="62"/>
      <c r="O75" s="62"/>
      <c r="P75" s="59"/>
      <c r="Q75" s="62"/>
    </row>
    <row r="76" spans="1:17">
      <c r="A76" s="280"/>
      <c r="B76" s="88"/>
      <c r="C76" s="88"/>
      <c r="D76" s="716"/>
      <c r="E76" s="716"/>
      <c r="F76" s="716"/>
      <c r="G76" s="716"/>
      <c r="H76" s="716"/>
      <c r="K76" s="716"/>
      <c r="L76" s="716"/>
      <c r="M76" s="62"/>
      <c r="N76" s="62"/>
      <c r="O76" s="62"/>
      <c r="P76" s="62"/>
      <c r="Q76" s="62"/>
    </row>
    <row r="77" spans="1:17">
      <c r="A77" s="280"/>
      <c r="B77" s="88"/>
      <c r="C77" s="88"/>
      <c r="D77" s="306"/>
      <c r="E77" s="306"/>
      <c r="F77" s="306"/>
      <c r="G77" s="306"/>
      <c r="H77" s="306"/>
      <c r="K77" s="306"/>
      <c r="L77" s="306"/>
    </row>
    <row r="78" spans="1:17">
      <c r="A78" s="280"/>
      <c r="B78" s="88"/>
      <c r="C78" s="88"/>
      <c r="D78" s="306"/>
      <c r="E78" s="306"/>
      <c r="F78" s="306"/>
      <c r="G78" s="306"/>
      <c r="H78" s="306"/>
      <c r="K78" s="306"/>
      <c r="L78" s="306"/>
    </row>
    <row r="79" spans="1:17">
      <c r="A79" s="280"/>
      <c r="B79" s="88"/>
      <c r="C79" s="88"/>
      <c r="D79" s="306"/>
      <c r="E79" s="306"/>
      <c r="F79" s="306"/>
      <c r="G79" s="306"/>
      <c r="H79" s="306"/>
      <c r="K79" s="306"/>
      <c r="L79" s="306"/>
    </row>
    <row r="93" ht="24" customHeight="1"/>
  </sheetData>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M65"/>
  <sheetViews>
    <sheetView view="pageBreakPreview" zoomScale="70" zoomScaleNormal="100" zoomScaleSheetLayoutView="70" workbookViewId="0">
      <selection activeCell="C17" sqref="C17"/>
    </sheetView>
  </sheetViews>
  <sheetFormatPr defaultColWidth="8.84375" defaultRowHeight="14"/>
  <cols>
    <col min="1" max="1" width="8.84375" style="529"/>
    <col min="2" max="2" width="43.84375" style="529" customWidth="1"/>
    <col min="3" max="3" width="15.53515625" style="529" customWidth="1"/>
    <col min="4" max="4" width="16.3046875" style="529" customWidth="1"/>
    <col min="5" max="5" width="13.53515625" style="529" customWidth="1"/>
    <col min="6" max="6" width="14.4609375" style="529" customWidth="1"/>
    <col min="7" max="16384" width="8.84375" style="529"/>
  </cols>
  <sheetData>
    <row r="1" spans="1:13">
      <c r="A1" s="725"/>
      <c r="C1" s="532" t="s">
        <v>194</v>
      </c>
      <c r="F1" s="654" t="s">
        <v>419</v>
      </c>
    </row>
    <row r="2" spans="1:13">
      <c r="C2" s="726" t="s">
        <v>283</v>
      </c>
    </row>
    <row r="3" spans="1:13">
      <c r="A3" s="727"/>
      <c r="C3" s="532" t="str">
        <f>+'Attachment H-7'!D5</f>
        <v>PECO Energy Company</v>
      </c>
    </row>
    <row r="4" spans="1:13">
      <c r="A4" s="727"/>
      <c r="C4" s="728"/>
    </row>
    <row r="5" spans="1:13">
      <c r="A5" s="727"/>
      <c r="C5" s="728"/>
    </row>
    <row r="6" spans="1:13">
      <c r="A6" s="729"/>
      <c r="B6" s="730" t="s">
        <v>280</v>
      </c>
      <c r="C6" s="731"/>
      <c r="D6" s="729"/>
    </row>
    <row r="7" spans="1:13">
      <c r="A7" s="729"/>
      <c r="B7" s="732" t="s">
        <v>198</v>
      </c>
      <c r="C7" s="731"/>
      <c r="D7" s="732" t="s">
        <v>199</v>
      </c>
      <c r="E7" s="732" t="s">
        <v>200</v>
      </c>
      <c r="F7" s="532" t="s">
        <v>201</v>
      </c>
    </row>
    <row r="8" spans="1:13">
      <c r="A8" s="729"/>
      <c r="B8" s="733"/>
      <c r="C8" s="733"/>
      <c r="D8" s="734" t="s">
        <v>770</v>
      </c>
      <c r="F8" s="735" t="s">
        <v>701</v>
      </c>
    </row>
    <row r="9" spans="1:13" ht="36" customHeight="1">
      <c r="A9" s="727"/>
      <c r="B9" s="727"/>
      <c r="C9" s="736"/>
      <c r="E9" s="638" t="s">
        <v>923</v>
      </c>
      <c r="F9" s="638" t="s">
        <v>1112</v>
      </c>
    </row>
    <row r="10" spans="1:13">
      <c r="A10" s="729">
        <v>1</v>
      </c>
      <c r="B10" s="737" t="s">
        <v>677</v>
      </c>
      <c r="C10" s="737"/>
      <c r="D10" s="606">
        <v>1066173</v>
      </c>
      <c r="E10" s="606">
        <v>679716.20693636674</v>
      </c>
      <c r="F10" s="536">
        <f>+E10*D19</f>
        <v>535485.25628336705</v>
      </c>
      <c r="G10" s="538"/>
    </row>
    <row r="11" spans="1:13">
      <c r="A11" s="729">
        <v>2</v>
      </c>
      <c r="B11" s="737" t="s">
        <v>678</v>
      </c>
      <c r="C11" s="737"/>
      <c r="D11" s="738"/>
      <c r="E11" s="1082">
        <v>943761.14439614222</v>
      </c>
      <c r="F11" s="738">
        <f>+E11*D19</f>
        <v>743501.73369422602</v>
      </c>
    </row>
    <row r="12" spans="1:13">
      <c r="A12" s="729">
        <v>3</v>
      </c>
      <c r="B12" s="737" t="s">
        <v>679</v>
      </c>
      <c r="C12" s="737" t="s">
        <v>680</v>
      </c>
      <c r="D12" s="606"/>
      <c r="F12" s="606">
        <f t="shared" ref="F12" si="0">+F10-F11</f>
        <v>-208016.47741085896</v>
      </c>
    </row>
    <row r="14" spans="1:13">
      <c r="A14" s="739"/>
      <c r="B14" s="739"/>
      <c r="C14" s="739"/>
      <c r="D14" s="739"/>
      <c r="E14" s="739"/>
      <c r="F14" s="739"/>
      <c r="G14" s="739"/>
      <c r="H14" s="739"/>
      <c r="I14" s="739"/>
      <c r="J14" s="739"/>
      <c r="K14" s="739"/>
      <c r="L14" s="739"/>
      <c r="M14" s="739"/>
    </row>
    <row r="15" spans="1:13" ht="14.5" thickBot="1">
      <c r="A15" s="740" t="s">
        <v>182</v>
      </c>
      <c r="B15" s="739"/>
      <c r="C15" s="739"/>
      <c r="D15" s="739"/>
      <c r="E15" s="739"/>
      <c r="F15" s="739"/>
      <c r="G15" s="739"/>
      <c r="H15" s="739"/>
      <c r="I15" s="739"/>
      <c r="J15" s="739"/>
      <c r="K15" s="739"/>
      <c r="L15" s="739"/>
      <c r="M15" s="739"/>
    </row>
    <row r="16" spans="1:13">
      <c r="A16" s="741" t="s">
        <v>58</v>
      </c>
      <c r="B16" s="742" t="s">
        <v>924</v>
      </c>
      <c r="C16" s="743"/>
      <c r="D16" s="743"/>
      <c r="E16" s="743"/>
      <c r="F16" s="743"/>
      <c r="G16" s="743"/>
      <c r="H16" s="743"/>
      <c r="I16" s="743"/>
      <c r="J16" s="743"/>
      <c r="K16" s="743"/>
      <c r="L16" s="743"/>
      <c r="M16" s="743"/>
    </row>
    <row r="17" spans="1:13">
      <c r="A17" s="741"/>
      <c r="B17" s="742" t="s">
        <v>926</v>
      </c>
      <c r="C17" s="743"/>
      <c r="D17" s="743"/>
      <c r="E17" s="743"/>
      <c r="F17" s="743"/>
      <c r="G17" s="743"/>
      <c r="H17" s="743"/>
      <c r="I17" s="743"/>
      <c r="J17" s="743"/>
      <c r="K17" s="743"/>
      <c r="L17" s="743"/>
      <c r="M17" s="743"/>
    </row>
    <row r="18" spans="1:13">
      <c r="A18" s="744"/>
      <c r="C18" s="532" t="s">
        <v>44</v>
      </c>
      <c r="D18" s="529" t="s">
        <v>53</v>
      </c>
      <c r="E18" s="532"/>
    </row>
    <row r="19" spans="1:13">
      <c r="A19" s="532" t="s">
        <v>59</v>
      </c>
      <c r="B19" s="529" t="s">
        <v>925</v>
      </c>
      <c r="C19" s="1075">
        <v>178665819</v>
      </c>
      <c r="D19" s="538">
        <f>C19/C21</f>
        <v>0.78780710363950135</v>
      </c>
      <c r="E19" s="42"/>
    </row>
    <row r="20" spans="1:13">
      <c r="B20" s="529" t="s">
        <v>1313</v>
      </c>
      <c r="C20" s="1082">
        <v>48122970</v>
      </c>
      <c r="D20" s="538">
        <f>C20/C21</f>
        <v>0.21219289636049868</v>
      </c>
      <c r="E20" s="42"/>
    </row>
    <row r="21" spans="1:13">
      <c r="B21" s="529" t="s">
        <v>13</v>
      </c>
      <c r="C21" s="536">
        <f>+C19+C20</f>
        <v>226788789</v>
      </c>
      <c r="D21" s="745"/>
    </row>
    <row r="23" spans="1:13">
      <c r="A23" s="532" t="s">
        <v>60</v>
      </c>
      <c r="B23" s="746" t="s">
        <v>1113</v>
      </c>
    </row>
    <row r="24" spans="1:13">
      <c r="B24" s="529" t="s">
        <v>1114</v>
      </c>
    </row>
    <row r="65" ht="24" customHeight="1"/>
  </sheetData>
  <phoneticPr fontId="0" type="noConversion"/>
  <pageMargins left="0.7" right="0.7" top="0.75" bottom="0.75" header="0.3" footer="0.3"/>
  <pageSetup scale="9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Q149"/>
  <sheetViews>
    <sheetView view="pageBreakPreview" topLeftCell="B112" zoomScale="70" zoomScaleNormal="70" zoomScaleSheetLayoutView="70" workbookViewId="0">
      <selection activeCell="C21" sqref="C21"/>
    </sheetView>
  </sheetViews>
  <sheetFormatPr defaultColWidth="8.84375" defaultRowHeight="15.5"/>
  <cols>
    <col min="1" max="1" width="8.84375" style="747"/>
    <col min="2" max="2" width="6.84375" style="748" customWidth="1"/>
    <col min="3" max="3" width="56.69140625" style="748" customWidth="1"/>
    <col min="4" max="4" width="18.4609375" style="748" customWidth="1"/>
    <col min="5" max="5" width="21.3046875" style="748" customWidth="1"/>
    <col min="6" max="6" width="16.3046875" style="748" customWidth="1"/>
    <col min="7" max="7" width="21.4609375" style="748" customWidth="1"/>
    <col min="8" max="8" width="22.84375" style="748" customWidth="1"/>
    <col min="9" max="11" width="22.84375" style="749" customWidth="1"/>
    <col min="12" max="12" width="18.07421875" style="749" customWidth="1"/>
    <col min="13" max="13" width="8.84375" style="748"/>
    <col min="14" max="14" width="14.07421875" style="750" bestFit="1" customWidth="1"/>
    <col min="15" max="15" width="16.4609375" style="751" customWidth="1"/>
    <col min="16" max="16" width="9.4609375" style="748" customWidth="1"/>
    <col min="17" max="17" width="9.07421875" style="748" customWidth="1"/>
    <col min="18" max="16384" width="8.84375" style="748"/>
  </cols>
  <sheetData>
    <row r="1" spans="1:15">
      <c r="L1" s="232" t="s">
        <v>1453</v>
      </c>
    </row>
    <row r="2" spans="1:15">
      <c r="B2" s="1146" t="s">
        <v>681</v>
      </c>
      <c r="C2" s="1146"/>
      <c r="D2" s="1146"/>
      <c r="E2" s="1146"/>
      <c r="F2" s="1146"/>
      <c r="G2" s="1146"/>
      <c r="H2" s="1146"/>
      <c r="I2" s="1146"/>
      <c r="J2" s="1146"/>
      <c r="K2" s="1146"/>
      <c r="L2" s="1146"/>
    </row>
    <row r="3" spans="1:15">
      <c r="B3" s="1146" t="s">
        <v>1481</v>
      </c>
      <c r="C3" s="1146"/>
      <c r="D3" s="1146"/>
      <c r="E3" s="1146"/>
      <c r="F3" s="1146"/>
      <c r="G3" s="1146"/>
      <c r="H3" s="1146"/>
      <c r="I3" s="1146"/>
      <c r="J3" s="1146"/>
      <c r="K3" s="1146"/>
      <c r="L3" s="1146"/>
    </row>
    <row r="4" spans="1:15">
      <c r="L4" s="748"/>
    </row>
    <row r="6" spans="1:15">
      <c r="G6" s="17"/>
      <c r="L6" s="242"/>
    </row>
    <row r="7" spans="1:15">
      <c r="B7" s="752" t="s">
        <v>927</v>
      </c>
      <c r="C7" s="752" t="s">
        <v>928</v>
      </c>
      <c r="D7" s="752" t="s">
        <v>929</v>
      </c>
      <c r="E7" s="752" t="s">
        <v>930</v>
      </c>
      <c r="F7" s="242" t="s">
        <v>931</v>
      </c>
      <c r="G7" s="753" t="s">
        <v>932</v>
      </c>
      <c r="H7" s="754" t="s">
        <v>933</v>
      </c>
      <c r="I7" s="242" t="s">
        <v>934</v>
      </c>
      <c r="J7" s="242" t="s">
        <v>935</v>
      </c>
      <c r="K7" s="242" t="s">
        <v>936</v>
      </c>
    </row>
    <row r="8" spans="1:15">
      <c r="C8" s="755"/>
      <c r="D8" s="752"/>
      <c r="E8" s="752"/>
      <c r="F8" s="753"/>
      <c r="G8" s="754"/>
      <c r="H8" s="242" t="s">
        <v>937</v>
      </c>
      <c r="I8" s="242" t="s">
        <v>938</v>
      </c>
      <c r="J8" s="242" t="s">
        <v>991</v>
      </c>
      <c r="K8" s="242" t="s">
        <v>939</v>
      </c>
    </row>
    <row r="9" spans="1:15">
      <c r="C9" s="755"/>
      <c r="D9" s="752" t="s">
        <v>940</v>
      </c>
      <c r="E9" s="752" t="s">
        <v>941</v>
      </c>
      <c r="F9" s="753" t="s">
        <v>942</v>
      </c>
      <c r="G9" s="753" t="s">
        <v>1489</v>
      </c>
      <c r="H9" s="242" t="s">
        <v>1406</v>
      </c>
      <c r="I9" s="242" t="s">
        <v>939</v>
      </c>
      <c r="J9" s="242" t="s">
        <v>458</v>
      </c>
      <c r="K9" s="242" t="s">
        <v>943</v>
      </c>
    </row>
    <row r="10" spans="1:15">
      <c r="B10" s="756" t="s">
        <v>944</v>
      </c>
      <c r="C10" s="756" t="s">
        <v>945</v>
      </c>
      <c r="D10" s="756" t="s">
        <v>946</v>
      </c>
      <c r="E10" s="756" t="s">
        <v>947</v>
      </c>
      <c r="F10" s="757" t="s">
        <v>948</v>
      </c>
      <c r="G10" s="757" t="s">
        <v>1490</v>
      </c>
      <c r="H10" s="758" t="s">
        <v>44</v>
      </c>
      <c r="I10" s="758" t="s">
        <v>44</v>
      </c>
      <c r="J10" s="758" t="s">
        <v>44</v>
      </c>
      <c r="K10" s="758" t="s">
        <v>44</v>
      </c>
    </row>
    <row r="11" spans="1:15">
      <c r="B11" s="752"/>
      <c r="C11" s="759"/>
      <c r="D11" s="760" t="s">
        <v>1072</v>
      </c>
      <c r="E11" s="760" t="s">
        <v>1072</v>
      </c>
      <c r="F11" s="761" t="s">
        <v>992</v>
      </c>
      <c r="G11" s="762"/>
      <c r="H11" s="761" t="s">
        <v>1071</v>
      </c>
      <c r="I11" s="761" t="s">
        <v>1071</v>
      </c>
      <c r="J11" s="763" t="s">
        <v>993</v>
      </c>
      <c r="K11" s="763" t="s">
        <v>1407</v>
      </c>
    </row>
    <row r="12" spans="1:15" ht="16" thickBot="1">
      <c r="B12" s="752"/>
      <c r="C12" s="764"/>
      <c r="D12" s="765"/>
      <c r="E12" s="765"/>
      <c r="F12" s="766"/>
      <c r="G12" s="767"/>
      <c r="H12" s="768"/>
      <c r="I12" s="768"/>
      <c r="J12" s="768"/>
      <c r="K12" s="768"/>
    </row>
    <row r="13" spans="1:15" ht="16" thickBot="1">
      <c r="A13" s="747">
        <v>1</v>
      </c>
      <c r="B13" s="769"/>
      <c r="D13" s="770"/>
      <c r="E13" s="771"/>
      <c r="F13" s="772"/>
      <c r="G13" s="702"/>
      <c r="H13" s="1150" t="s">
        <v>1771</v>
      </c>
      <c r="I13" s="1151"/>
      <c r="J13" s="1152"/>
      <c r="K13" s="773" t="s">
        <v>1772</v>
      </c>
      <c r="N13" s="774"/>
    </row>
    <row r="14" spans="1:15">
      <c r="A14" s="747">
        <f>A13+1</f>
        <v>2</v>
      </c>
      <c r="B14" s="769"/>
      <c r="C14" s="775" t="s">
        <v>797</v>
      </c>
      <c r="D14" s="770"/>
      <c r="E14" s="771"/>
      <c r="F14" s="772"/>
      <c r="G14" s="776"/>
      <c r="H14" s="777"/>
      <c r="I14" s="777"/>
      <c r="J14" s="778"/>
      <c r="K14" s="779"/>
      <c r="N14" s="779"/>
    </row>
    <row r="15" spans="1:15">
      <c r="A15" s="747">
        <f t="shared" ref="A15:A23" si="0">A14+1</f>
        <v>3</v>
      </c>
      <c r="B15" s="769">
        <v>352</v>
      </c>
      <c r="C15" s="780" t="s">
        <v>949</v>
      </c>
      <c r="D15" s="770" t="s">
        <v>974</v>
      </c>
      <c r="E15" s="770" t="s">
        <v>974</v>
      </c>
      <c r="F15" s="781" t="s">
        <v>974</v>
      </c>
      <c r="G15" s="782">
        <v>1.9467000000000002E-2</v>
      </c>
      <c r="H15" s="848">
        <v>92810266</v>
      </c>
      <c r="I15" s="848">
        <v>24499528</v>
      </c>
      <c r="J15" s="239">
        <f t="shared" ref="J15:J22" si="1">H15-I15</f>
        <v>68310738</v>
      </c>
      <c r="K15" s="783">
        <f>IF(G15="N/A", 0, G15*H15)</f>
        <v>1806737.4482220002</v>
      </c>
      <c r="N15" s="784"/>
      <c r="O15" s="785"/>
    </row>
    <row r="16" spans="1:15">
      <c r="A16" s="747">
        <f t="shared" si="0"/>
        <v>4</v>
      </c>
      <c r="B16" s="769">
        <v>353</v>
      </c>
      <c r="C16" s="780" t="s">
        <v>950</v>
      </c>
      <c r="D16" s="770" t="s">
        <v>974</v>
      </c>
      <c r="E16" s="770" t="s">
        <v>974</v>
      </c>
      <c r="F16" s="781" t="s">
        <v>974</v>
      </c>
      <c r="G16" s="782">
        <v>1.7103E-2</v>
      </c>
      <c r="H16" s="848">
        <v>976991755</v>
      </c>
      <c r="I16" s="848">
        <v>220244151</v>
      </c>
      <c r="J16" s="239">
        <f t="shared" si="1"/>
        <v>756747604</v>
      </c>
      <c r="K16" s="783">
        <f t="shared" ref="K16:K22" si="2">IF(G16="N/A", 0, G16*H16)</f>
        <v>16709489.985765001</v>
      </c>
      <c r="N16" s="784"/>
      <c r="O16" s="785"/>
    </row>
    <row r="17" spans="1:17">
      <c r="A17" s="747">
        <f t="shared" si="0"/>
        <v>5</v>
      </c>
      <c r="B17" s="769">
        <v>354</v>
      </c>
      <c r="C17" s="780" t="s">
        <v>951</v>
      </c>
      <c r="D17" s="770" t="s">
        <v>974</v>
      </c>
      <c r="E17" s="770" t="s">
        <v>974</v>
      </c>
      <c r="F17" s="781" t="s">
        <v>974</v>
      </c>
      <c r="G17" s="782">
        <v>1.1979E-2</v>
      </c>
      <c r="H17" s="848">
        <v>292282790</v>
      </c>
      <c r="I17" s="848">
        <v>167201857</v>
      </c>
      <c r="J17" s="239">
        <f t="shared" si="1"/>
        <v>125080933</v>
      </c>
      <c r="K17" s="783">
        <f t="shared" si="2"/>
        <v>3501255.5414100001</v>
      </c>
      <c r="N17" s="784"/>
      <c r="O17" s="785"/>
    </row>
    <row r="18" spans="1:17">
      <c r="A18" s="747">
        <f t="shared" si="0"/>
        <v>6</v>
      </c>
      <c r="B18" s="769">
        <v>355</v>
      </c>
      <c r="C18" s="780" t="s">
        <v>953</v>
      </c>
      <c r="D18" s="770" t="s">
        <v>974</v>
      </c>
      <c r="E18" s="770" t="s">
        <v>974</v>
      </c>
      <c r="F18" s="781" t="s">
        <v>974</v>
      </c>
      <c r="G18" s="782">
        <v>1.5571E-2</v>
      </c>
      <c r="H18" s="848">
        <v>24297611</v>
      </c>
      <c r="I18" s="848">
        <v>2960712</v>
      </c>
      <c r="J18" s="239">
        <f t="shared" si="1"/>
        <v>21336899</v>
      </c>
      <c r="K18" s="783">
        <f t="shared" si="2"/>
        <v>378338.10088099999</v>
      </c>
      <c r="N18" s="784"/>
      <c r="O18" s="785"/>
    </row>
    <row r="19" spans="1:17">
      <c r="A19" s="747">
        <f t="shared" si="0"/>
        <v>7</v>
      </c>
      <c r="B19" s="769">
        <v>356</v>
      </c>
      <c r="C19" s="780" t="s">
        <v>954</v>
      </c>
      <c r="D19" s="770" t="s">
        <v>974</v>
      </c>
      <c r="E19" s="770" t="s">
        <v>974</v>
      </c>
      <c r="F19" s="781" t="s">
        <v>974</v>
      </c>
      <c r="G19" s="782">
        <v>1.5383000000000001E-2</v>
      </c>
      <c r="H19" s="848">
        <v>206153744</v>
      </c>
      <c r="I19" s="848">
        <v>89870500</v>
      </c>
      <c r="J19" s="239">
        <f t="shared" si="1"/>
        <v>116283244</v>
      </c>
      <c r="K19" s="783">
        <f t="shared" si="2"/>
        <v>3171263.0439520003</v>
      </c>
      <c r="N19" s="784"/>
      <c r="O19" s="785"/>
    </row>
    <row r="20" spans="1:17">
      <c r="A20" s="747">
        <f t="shared" si="0"/>
        <v>8</v>
      </c>
      <c r="B20" s="769">
        <v>357</v>
      </c>
      <c r="C20" s="780" t="s">
        <v>955</v>
      </c>
      <c r="D20" s="770" t="s">
        <v>974</v>
      </c>
      <c r="E20" s="770" t="s">
        <v>974</v>
      </c>
      <c r="F20" s="781" t="s">
        <v>974</v>
      </c>
      <c r="G20" s="782">
        <v>1.5991999999999999E-2</v>
      </c>
      <c r="H20" s="848">
        <v>15920550</v>
      </c>
      <c r="I20" s="848">
        <v>4619514</v>
      </c>
      <c r="J20" s="239">
        <f t="shared" si="1"/>
        <v>11301036</v>
      </c>
      <c r="K20" s="783">
        <f t="shared" si="2"/>
        <v>254601.4356</v>
      </c>
      <c r="N20" s="784"/>
      <c r="O20" s="785"/>
    </row>
    <row r="21" spans="1:17">
      <c r="A21" s="747">
        <f t="shared" si="0"/>
        <v>9</v>
      </c>
      <c r="B21" s="769">
        <v>358</v>
      </c>
      <c r="C21" s="780" t="s">
        <v>956</v>
      </c>
      <c r="D21" s="770" t="s">
        <v>974</v>
      </c>
      <c r="E21" s="770" t="s">
        <v>974</v>
      </c>
      <c r="F21" s="781" t="s">
        <v>974</v>
      </c>
      <c r="G21" s="782">
        <v>1.5855000000000001E-2</v>
      </c>
      <c r="H21" s="848">
        <v>104083342</v>
      </c>
      <c r="I21" s="848">
        <v>48270505</v>
      </c>
      <c r="J21" s="786">
        <f t="shared" si="1"/>
        <v>55812837</v>
      </c>
      <c r="K21" s="784">
        <f t="shared" si="2"/>
        <v>1650241.3874100002</v>
      </c>
      <c r="N21" s="784"/>
      <c r="O21" s="785"/>
    </row>
    <row r="22" spans="1:17">
      <c r="A22" s="747">
        <f t="shared" si="0"/>
        <v>10</v>
      </c>
      <c r="B22" s="769">
        <v>359</v>
      </c>
      <c r="C22" s="780" t="s">
        <v>957</v>
      </c>
      <c r="D22" s="770" t="s">
        <v>974</v>
      </c>
      <c r="E22" s="770" t="s">
        <v>974</v>
      </c>
      <c r="F22" s="781" t="s">
        <v>974</v>
      </c>
      <c r="G22" s="782">
        <v>1.0513E-2</v>
      </c>
      <c r="H22" s="848">
        <v>2621221</v>
      </c>
      <c r="I22" s="848">
        <v>2142645</v>
      </c>
      <c r="J22" s="786">
        <f t="shared" si="1"/>
        <v>478576</v>
      </c>
      <c r="K22" s="784">
        <f t="shared" si="2"/>
        <v>27556.896373</v>
      </c>
      <c r="N22" s="784"/>
      <c r="O22" s="785"/>
    </row>
    <row r="23" spans="1:17" ht="16" thickBot="1">
      <c r="A23" s="747">
        <f t="shared" si="0"/>
        <v>11</v>
      </c>
      <c r="B23" s="769"/>
      <c r="C23" s="780"/>
      <c r="D23" s="770"/>
      <c r="E23" s="770"/>
      <c r="F23" s="770"/>
      <c r="G23" s="782"/>
      <c r="H23" s="787">
        <f>SUM(H15:H22)</f>
        <v>1715161279</v>
      </c>
      <c r="I23" s="787">
        <f>SUM(I15:I22)</f>
        <v>559809412</v>
      </c>
      <c r="J23" s="787">
        <f>SUM(J15:J22)</f>
        <v>1155351867</v>
      </c>
      <c r="K23" s="787">
        <f>SUM(K15:K22)</f>
        <v>27499483.839612998</v>
      </c>
      <c r="M23" s="788"/>
      <c r="N23" s="789"/>
      <c r="O23" s="790"/>
    </row>
    <row r="24" spans="1:17" ht="16" thickTop="1">
      <c r="B24" s="769"/>
      <c r="C24" s="780"/>
      <c r="D24" s="770"/>
      <c r="E24" s="770"/>
      <c r="F24" s="770"/>
      <c r="G24" s="782"/>
      <c r="H24" s="786"/>
      <c r="I24" s="786"/>
      <c r="J24" s="786"/>
      <c r="K24" s="784"/>
      <c r="N24" s="784"/>
    </row>
    <row r="25" spans="1:17">
      <c r="A25" s="747">
        <f>A23+1</f>
        <v>12</v>
      </c>
      <c r="B25" s="769"/>
      <c r="C25" s="775" t="s">
        <v>880</v>
      </c>
      <c r="F25" s="95"/>
      <c r="G25" s="791"/>
      <c r="H25" s="749"/>
      <c r="J25" s="778"/>
      <c r="K25" s="779"/>
      <c r="N25" s="779"/>
    </row>
    <row r="26" spans="1:17" ht="15" customHeight="1">
      <c r="A26" s="747">
        <f>A25+1</f>
        <v>13</v>
      </c>
      <c r="B26" s="769">
        <v>390</v>
      </c>
      <c r="C26" s="780" t="s">
        <v>949</v>
      </c>
      <c r="D26" s="1087">
        <v>45</v>
      </c>
      <c r="E26" s="1088" t="s">
        <v>1756</v>
      </c>
      <c r="F26" s="1085">
        <v>30.48</v>
      </c>
      <c r="G26" s="782">
        <v>2.4239E-2</v>
      </c>
      <c r="H26" s="848">
        <v>50164639</v>
      </c>
      <c r="I26" s="848">
        <v>14025540</v>
      </c>
      <c r="J26" s="792">
        <f t="shared" ref="J26:J37" si="3">H26-I26</f>
        <v>36139099</v>
      </c>
      <c r="K26" s="792">
        <f t="shared" ref="K26:K37" si="4">IF(G26="N/A", 0, G26*H26)</f>
        <v>1215940.684721</v>
      </c>
      <c r="N26" s="793"/>
      <c r="O26" s="785"/>
    </row>
    <row r="27" spans="1:17" ht="15" customHeight="1">
      <c r="A27" s="747">
        <f t="shared" ref="A27:A38" si="5">A26+1</f>
        <v>14</v>
      </c>
      <c r="B27" s="769">
        <v>391.1</v>
      </c>
      <c r="C27" s="780" t="s">
        <v>959</v>
      </c>
      <c r="D27" s="1087">
        <v>10</v>
      </c>
      <c r="E27" s="1088" t="s">
        <v>960</v>
      </c>
      <c r="F27" s="1085">
        <v>0.5</v>
      </c>
      <c r="G27" s="782">
        <v>0</v>
      </c>
      <c r="H27" s="848">
        <v>0</v>
      </c>
      <c r="I27" s="848">
        <v>-3134</v>
      </c>
      <c r="J27" s="792">
        <f t="shared" si="3"/>
        <v>3134</v>
      </c>
      <c r="K27" s="792">
        <f t="shared" si="4"/>
        <v>0</v>
      </c>
      <c r="N27" s="793"/>
      <c r="O27" s="785"/>
    </row>
    <row r="28" spans="1:17" ht="15" customHeight="1">
      <c r="A28" s="747">
        <f t="shared" si="5"/>
        <v>15</v>
      </c>
      <c r="B28" s="769">
        <v>391.2</v>
      </c>
      <c r="C28" s="780" t="s">
        <v>961</v>
      </c>
      <c r="D28" s="1087">
        <v>15</v>
      </c>
      <c r="E28" s="1088" t="s">
        <v>960</v>
      </c>
      <c r="F28" s="1085">
        <v>10.52</v>
      </c>
      <c r="G28" s="782">
        <v>6.6811999999999996E-2</v>
      </c>
      <c r="H28" s="848">
        <v>814246</v>
      </c>
      <c r="I28" s="848">
        <v>238829</v>
      </c>
      <c r="J28" s="792">
        <f t="shared" si="3"/>
        <v>575417</v>
      </c>
      <c r="K28" s="792">
        <f t="shared" si="4"/>
        <v>54401.403751999998</v>
      </c>
      <c r="N28" s="793"/>
      <c r="O28" s="785"/>
      <c r="P28" s="794"/>
      <c r="Q28" s="795"/>
    </row>
    <row r="29" spans="1:17" ht="15" customHeight="1">
      <c r="A29" s="747">
        <f t="shared" si="5"/>
        <v>16</v>
      </c>
      <c r="B29" s="769">
        <v>391.3</v>
      </c>
      <c r="C29" s="780" t="s">
        <v>962</v>
      </c>
      <c r="D29" s="1087">
        <v>5</v>
      </c>
      <c r="E29" s="1088" t="s">
        <v>960</v>
      </c>
      <c r="F29" s="1085">
        <v>2.91</v>
      </c>
      <c r="G29" s="782">
        <v>0.175231</v>
      </c>
      <c r="H29" s="848">
        <v>39615137</v>
      </c>
      <c r="I29" s="848">
        <v>19802299</v>
      </c>
      <c r="J29" s="792">
        <f t="shared" si="3"/>
        <v>19812838</v>
      </c>
      <c r="K29" s="792">
        <f t="shared" si="4"/>
        <v>6941800.0716469996</v>
      </c>
      <c r="N29" s="793"/>
      <c r="O29" s="785"/>
      <c r="P29" s="794"/>
    </row>
    <row r="30" spans="1:17" ht="15" customHeight="1">
      <c r="A30" s="747">
        <f t="shared" si="5"/>
        <v>17</v>
      </c>
      <c r="B30" s="769">
        <v>391.4</v>
      </c>
      <c r="C30" s="780" t="s">
        <v>963</v>
      </c>
      <c r="D30" s="1087">
        <v>5</v>
      </c>
      <c r="E30" s="1088" t="s">
        <v>960</v>
      </c>
      <c r="F30" s="1085">
        <v>2.91</v>
      </c>
      <c r="G30" s="782">
        <v>1.9353400000000001</v>
      </c>
      <c r="H30" s="848">
        <v>77250</v>
      </c>
      <c r="I30" s="848">
        <v>-281844</v>
      </c>
      <c r="J30" s="792">
        <f t="shared" si="3"/>
        <v>359094</v>
      </c>
      <c r="K30" s="792">
        <f t="shared" si="4"/>
        <v>149505.01500000001</v>
      </c>
      <c r="N30" s="793"/>
      <c r="O30" s="785"/>
      <c r="P30" s="794"/>
    </row>
    <row r="31" spans="1:17" ht="15" customHeight="1">
      <c r="A31" s="747">
        <f t="shared" si="5"/>
        <v>18</v>
      </c>
      <c r="B31" s="769">
        <v>393</v>
      </c>
      <c r="C31" s="780" t="s">
        <v>964</v>
      </c>
      <c r="D31" s="1087">
        <v>15</v>
      </c>
      <c r="E31" s="1088" t="s">
        <v>960</v>
      </c>
      <c r="F31" s="1085">
        <v>7.32</v>
      </c>
      <c r="G31" s="782">
        <v>8.6787000000000003E-2</v>
      </c>
      <c r="H31" s="848">
        <v>46470</v>
      </c>
      <c r="I31" s="848">
        <v>19083</v>
      </c>
      <c r="J31" s="792">
        <f t="shared" si="3"/>
        <v>27387</v>
      </c>
      <c r="K31" s="792">
        <f t="shared" si="4"/>
        <v>4032.9918900000002</v>
      </c>
      <c r="N31" s="793"/>
      <c r="O31" s="785"/>
    </row>
    <row r="32" spans="1:17" ht="15" customHeight="1">
      <c r="A32" s="747">
        <f t="shared" si="5"/>
        <v>19</v>
      </c>
      <c r="B32" s="769">
        <v>394</v>
      </c>
      <c r="C32" s="780" t="s">
        <v>965</v>
      </c>
      <c r="D32" s="1087">
        <v>15</v>
      </c>
      <c r="E32" s="1088" t="s">
        <v>960</v>
      </c>
      <c r="F32" s="1085">
        <v>9.6</v>
      </c>
      <c r="G32" s="782">
        <v>6.6591999999999998E-2</v>
      </c>
      <c r="H32" s="848">
        <v>45956699</v>
      </c>
      <c r="I32" s="848">
        <v>15294867</v>
      </c>
      <c r="J32" s="792">
        <f t="shared" si="3"/>
        <v>30661832</v>
      </c>
      <c r="K32" s="792">
        <f t="shared" si="4"/>
        <v>3060348.4998079999</v>
      </c>
      <c r="N32" s="793"/>
      <c r="O32" s="785"/>
    </row>
    <row r="33" spans="1:15" ht="15" customHeight="1">
      <c r="A33" s="747">
        <f t="shared" si="5"/>
        <v>20</v>
      </c>
      <c r="B33" s="769">
        <v>395.1</v>
      </c>
      <c r="C33" s="780" t="s">
        <v>966</v>
      </c>
      <c r="D33" s="1087">
        <v>20</v>
      </c>
      <c r="E33" s="1088" t="s">
        <v>960</v>
      </c>
      <c r="F33" s="1085">
        <v>4.74</v>
      </c>
      <c r="G33" s="782">
        <v>4.2977000000000001E-2</v>
      </c>
      <c r="H33" s="848">
        <v>311025</v>
      </c>
      <c r="I33" s="848">
        <v>254651</v>
      </c>
      <c r="J33" s="792">
        <f t="shared" si="3"/>
        <v>56374</v>
      </c>
      <c r="K33" s="792">
        <f t="shared" si="4"/>
        <v>13366.921425</v>
      </c>
      <c r="N33" s="793"/>
      <c r="O33" s="785"/>
    </row>
    <row r="34" spans="1:15" ht="15" customHeight="1">
      <c r="A34" s="747">
        <f t="shared" si="5"/>
        <v>21</v>
      </c>
      <c r="B34" s="769">
        <v>395.2</v>
      </c>
      <c r="C34" s="780" t="s">
        <v>967</v>
      </c>
      <c r="D34" s="1087">
        <v>15</v>
      </c>
      <c r="E34" s="1088" t="s">
        <v>960</v>
      </c>
      <c r="F34" s="1085">
        <v>1.5</v>
      </c>
      <c r="G34" s="782">
        <v>6.3749E-2</v>
      </c>
      <c r="H34" s="848">
        <v>101382</v>
      </c>
      <c r="I34" s="848">
        <v>94824</v>
      </c>
      <c r="J34" s="792">
        <f t="shared" si="3"/>
        <v>6558</v>
      </c>
      <c r="K34" s="792">
        <f t="shared" si="4"/>
        <v>6463.0011180000001</v>
      </c>
      <c r="N34" s="793"/>
      <c r="O34" s="785"/>
    </row>
    <row r="35" spans="1:15" ht="15" customHeight="1">
      <c r="A35" s="747">
        <f t="shared" si="5"/>
        <v>22</v>
      </c>
      <c r="B35" s="769">
        <v>397</v>
      </c>
      <c r="C35" s="780" t="s">
        <v>968</v>
      </c>
      <c r="D35" s="1087">
        <v>20</v>
      </c>
      <c r="E35" s="1088" t="s">
        <v>969</v>
      </c>
      <c r="F35" s="1085">
        <v>13.25</v>
      </c>
      <c r="G35" s="782">
        <v>5.2345999999999997E-2</v>
      </c>
      <c r="H35" s="848">
        <v>135204673</v>
      </c>
      <c r="I35" s="848">
        <v>39493430</v>
      </c>
      <c r="J35" s="792">
        <f t="shared" si="3"/>
        <v>95711243</v>
      </c>
      <c r="K35" s="792">
        <f t="shared" si="4"/>
        <v>7077423.8128579995</v>
      </c>
      <c r="N35" s="793"/>
      <c r="O35" s="785"/>
    </row>
    <row r="36" spans="1:15" ht="15" customHeight="1">
      <c r="A36" s="747">
        <f t="shared" si="5"/>
        <v>23</v>
      </c>
      <c r="B36" s="769">
        <v>397.1</v>
      </c>
      <c r="C36" s="780" t="s">
        <v>970</v>
      </c>
      <c r="D36" s="1087">
        <v>15</v>
      </c>
      <c r="E36" s="1088" t="s">
        <v>971</v>
      </c>
      <c r="F36" s="1085">
        <v>8.82</v>
      </c>
      <c r="G36" s="782">
        <v>6.6840999999999998E-2</v>
      </c>
      <c r="H36" s="848">
        <v>39930263</v>
      </c>
      <c r="I36" s="848">
        <v>16637915</v>
      </c>
      <c r="J36" s="792">
        <f t="shared" si="3"/>
        <v>23292348</v>
      </c>
      <c r="K36" s="792">
        <f t="shared" si="4"/>
        <v>2668978.709183</v>
      </c>
      <c r="N36" s="793"/>
      <c r="O36" s="785"/>
    </row>
    <row r="37" spans="1:15" ht="15" customHeight="1">
      <c r="A37" s="747">
        <f t="shared" si="5"/>
        <v>24</v>
      </c>
      <c r="B37" s="769">
        <v>398</v>
      </c>
      <c r="C37" s="780" t="s">
        <v>972</v>
      </c>
      <c r="D37" s="1087">
        <v>15</v>
      </c>
      <c r="E37" s="1088" t="s">
        <v>960</v>
      </c>
      <c r="F37" s="1085">
        <v>11.99</v>
      </c>
      <c r="G37" s="782">
        <v>2.6102E-2</v>
      </c>
      <c r="H37" s="848">
        <v>596006</v>
      </c>
      <c r="I37" s="848">
        <v>38970</v>
      </c>
      <c r="J37" s="792">
        <f t="shared" si="3"/>
        <v>557036</v>
      </c>
      <c r="K37" s="792">
        <f t="shared" si="4"/>
        <v>15556.948612</v>
      </c>
      <c r="N37" s="793"/>
      <c r="O37" s="785"/>
    </row>
    <row r="38" spans="1:15" ht="15" customHeight="1" thickBot="1">
      <c r="A38" s="747">
        <f t="shared" si="5"/>
        <v>25</v>
      </c>
      <c r="B38" s="769"/>
      <c r="C38" s="780"/>
      <c r="D38" s="770"/>
      <c r="E38" s="770"/>
      <c r="F38" s="770"/>
      <c r="G38" s="796"/>
      <c r="H38" s="797">
        <f>SUM(H26:H37)</f>
        <v>312817790</v>
      </c>
      <c r="I38" s="797">
        <f>SUM(I26:I37)</f>
        <v>105615430</v>
      </c>
      <c r="J38" s="797">
        <f>SUM(J26:J37)</f>
        <v>207202360</v>
      </c>
      <c r="K38" s="797">
        <f>SUM(K26:K37)</f>
        <v>21207818.060013998</v>
      </c>
      <c r="M38" s="788"/>
      <c r="N38" s="798"/>
      <c r="O38" s="790"/>
    </row>
    <row r="39" spans="1:15" ht="15" customHeight="1" thickTop="1">
      <c r="B39" s="799"/>
      <c r="C39" s="800"/>
      <c r="D39" s="770"/>
      <c r="E39" s="770"/>
      <c r="F39" s="770"/>
      <c r="G39" s="801"/>
      <c r="H39" s="798"/>
      <c r="I39" s="798"/>
      <c r="J39" s="798"/>
      <c r="K39" s="798"/>
      <c r="L39" s="232" t="s">
        <v>1454</v>
      </c>
      <c r="M39" s="788"/>
    </row>
    <row r="40" spans="1:15" ht="15" customHeight="1">
      <c r="B40" s="1146" t="s">
        <v>681</v>
      </c>
      <c r="C40" s="1146"/>
      <c r="D40" s="1146"/>
      <c r="E40" s="1146"/>
      <c r="F40" s="1146"/>
      <c r="G40" s="1146"/>
      <c r="H40" s="1146"/>
      <c r="I40" s="1146"/>
      <c r="J40" s="1146"/>
      <c r="K40" s="1146"/>
      <c r="L40" s="1146"/>
      <c r="M40" s="788"/>
    </row>
    <row r="41" spans="1:15" ht="15" customHeight="1">
      <c r="B41" s="1146" t="s">
        <v>1481</v>
      </c>
      <c r="C41" s="1146"/>
      <c r="D41" s="1146"/>
      <c r="E41" s="1146"/>
      <c r="F41" s="1146"/>
      <c r="G41" s="1146"/>
      <c r="H41" s="1146"/>
      <c r="I41" s="1146"/>
      <c r="J41" s="1146"/>
      <c r="K41" s="1146"/>
      <c r="L41" s="1146"/>
      <c r="M41" s="788"/>
    </row>
    <row r="42" spans="1:15" ht="15" customHeight="1">
      <c r="B42" s="755"/>
      <c r="C42" s="780"/>
      <c r="D42" s="802"/>
      <c r="E42" s="802"/>
      <c r="F42" s="802"/>
      <c r="G42" s="796"/>
      <c r="H42" s="792"/>
      <c r="I42" s="792"/>
      <c r="J42" s="792"/>
      <c r="K42" s="792"/>
    </row>
    <row r="43" spans="1:15" ht="15" customHeight="1">
      <c r="A43" s="747">
        <v>1</v>
      </c>
      <c r="B43" s="755"/>
      <c r="C43" s="775" t="s">
        <v>973</v>
      </c>
      <c r="D43" s="95"/>
      <c r="E43" s="95"/>
      <c r="F43" s="95"/>
      <c r="G43" s="776"/>
      <c r="H43" s="783"/>
      <c r="I43" s="783"/>
      <c r="J43" s="778"/>
      <c r="K43" s="779"/>
    </row>
    <row r="44" spans="1:15" ht="15" customHeight="1">
      <c r="A44" s="747">
        <f>A43+1</f>
        <v>2</v>
      </c>
      <c r="B44" s="799">
        <v>303</v>
      </c>
      <c r="C44" s="800" t="s">
        <v>1416</v>
      </c>
      <c r="D44" s="1089">
        <v>2</v>
      </c>
      <c r="E44" s="1089" t="s">
        <v>974</v>
      </c>
      <c r="F44" s="781" t="s">
        <v>974</v>
      </c>
      <c r="G44" s="782">
        <v>0</v>
      </c>
      <c r="H44" s="848">
        <v>5771259</v>
      </c>
      <c r="I44" s="848">
        <v>5771259</v>
      </c>
      <c r="J44" s="792">
        <f>H44-I44</f>
        <v>0</v>
      </c>
      <c r="K44" s="792">
        <f t="shared" ref="K44:K51" si="6">IF(G44="N/A", 0, G44*H44)</f>
        <v>0</v>
      </c>
      <c r="L44" s="804"/>
      <c r="N44" s="793"/>
      <c r="O44" s="785"/>
    </row>
    <row r="45" spans="1:15" ht="15" customHeight="1">
      <c r="A45" s="747">
        <f t="shared" ref="A45:A52" si="7">A44+1</f>
        <v>3</v>
      </c>
      <c r="B45" s="799">
        <v>303</v>
      </c>
      <c r="C45" s="800" t="s">
        <v>1417</v>
      </c>
      <c r="D45" s="1089">
        <v>3</v>
      </c>
      <c r="E45" s="1089" t="s">
        <v>974</v>
      </c>
      <c r="F45" s="781" t="s">
        <v>974</v>
      </c>
      <c r="G45" s="770" t="s">
        <v>974</v>
      </c>
      <c r="H45" s="848">
        <v>0</v>
      </c>
      <c r="I45" s="848">
        <v>0</v>
      </c>
      <c r="J45" s="792">
        <f t="shared" ref="J45:J64" si="8">H45-I45</f>
        <v>0</v>
      </c>
      <c r="K45" s="792">
        <f t="shared" si="6"/>
        <v>0</v>
      </c>
      <c r="L45" s="804"/>
      <c r="N45" s="793"/>
      <c r="O45" s="785"/>
    </row>
    <row r="46" spans="1:15" ht="15" customHeight="1">
      <c r="A46" s="747">
        <f t="shared" si="7"/>
        <v>4</v>
      </c>
      <c r="B46" s="799">
        <v>303</v>
      </c>
      <c r="C46" s="800" t="s">
        <v>1418</v>
      </c>
      <c r="D46" s="1089">
        <v>4</v>
      </c>
      <c r="E46" s="1089" t="s">
        <v>974</v>
      </c>
      <c r="F46" s="781" t="s">
        <v>974</v>
      </c>
      <c r="G46" s="770" t="s">
        <v>974</v>
      </c>
      <c r="H46" s="848">
        <v>0</v>
      </c>
      <c r="I46" s="848">
        <v>0</v>
      </c>
      <c r="J46" s="792">
        <f t="shared" si="8"/>
        <v>0</v>
      </c>
      <c r="K46" s="792">
        <f t="shared" si="6"/>
        <v>0</v>
      </c>
      <c r="L46" s="804"/>
      <c r="N46" s="793"/>
      <c r="O46" s="785"/>
    </row>
    <row r="47" spans="1:15" ht="15" customHeight="1">
      <c r="A47" s="747">
        <f t="shared" si="7"/>
        <v>5</v>
      </c>
      <c r="B47" s="799">
        <v>303</v>
      </c>
      <c r="C47" s="800" t="s">
        <v>1419</v>
      </c>
      <c r="D47" s="1089">
        <v>5</v>
      </c>
      <c r="E47" s="1089" t="s">
        <v>974</v>
      </c>
      <c r="F47" s="781" t="s">
        <v>974</v>
      </c>
      <c r="G47" s="782">
        <v>0.14092299999999999</v>
      </c>
      <c r="H47" s="848">
        <v>34487255</v>
      </c>
      <c r="I47" s="848">
        <v>16467073</v>
      </c>
      <c r="J47" s="792">
        <f t="shared" si="8"/>
        <v>18020182</v>
      </c>
      <c r="K47" s="792">
        <f t="shared" si="6"/>
        <v>4860047.436365</v>
      </c>
      <c r="L47" s="804"/>
      <c r="N47" s="793"/>
      <c r="O47" s="785"/>
    </row>
    <row r="48" spans="1:15" ht="15" customHeight="1">
      <c r="A48" s="747">
        <f t="shared" si="7"/>
        <v>6</v>
      </c>
      <c r="B48" s="799">
        <v>303</v>
      </c>
      <c r="C48" s="800" t="s">
        <v>1420</v>
      </c>
      <c r="D48" s="1089">
        <v>7</v>
      </c>
      <c r="E48" s="1089" t="s">
        <v>974</v>
      </c>
      <c r="F48" s="781" t="s">
        <v>974</v>
      </c>
      <c r="G48" s="770" t="s">
        <v>974</v>
      </c>
      <c r="H48" s="848">
        <v>0</v>
      </c>
      <c r="I48" s="848">
        <v>0</v>
      </c>
      <c r="J48" s="792">
        <f t="shared" si="8"/>
        <v>0</v>
      </c>
      <c r="K48" s="792">
        <f t="shared" si="6"/>
        <v>0</v>
      </c>
      <c r="L48" s="804"/>
      <c r="N48" s="793"/>
      <c r="O48" s="785"/>
    </row>
    <row r="49" spans="1:15" ht="15" customHeight="1">
      <c r="A49" s="747">
        <f t="shared" si="7"/>
        <v>7</v>
      </c>
      <c r="B49" s="799">
        <v>303</v>
      </c>
      <c r="C49" s="800" t="s">
        <v>1421</v>
      </c>
      <c r="D49" s="1089">
        <v>10</v>
      </c>
      <c r="E49" s="1089" t="s">
        <v>974</v>
      </c>
      <c r="F49" s="781" t="s">
        <v>974</v>
      </c>
      <c r="G49" s="770" t="s">
        <v>974</v>
      </c>
      <c r="H49" s="848">
        <v>0</v>
      </c>
      <c r="I49" s="848">
        <v>0</v>
      </c>
      <c r="J49" s="792">
        <f t="shared" si="8"/>
        <v>0</v>
      </c>
      <c r="K49" s="792">
        <f t="shared" si="6"/>
        <v>0</v>
      </c>
      <c r="L49" s="804"/>
      <c r="N49" s="793"/>
      <c r="O49" s="785"/>
    </row>
    <row r="50" spans="1:15" ht="15" customHeight="1">
      <c r="A50" s="747">
        <f t="shared" si="7"/>
        <v>8</v>
      </c>
      <c r="B50" s="799">
        <v>303</v>
      </c>
      <c r="C50" s="800" t="s">
        <v>1422</v>
      </c>
      <c r="D50" s="1089">
        <v>13</v>
      </c>
      <c r="E50" s="1089" t="s">
        <v>974</v>
      </c>
      <c r="F50" s="781" t="s">
        <v>974</v>
      </c>
      <c r="G50" s="770" t="s">
        <v>974</v>
      </c>
      <c r="H50" s="848">
        <v>0</v>
      </c>
      <c r="I50" s="848">
        <v>0</v>
      </c>
      <c r="J50" s="792">
        <f t="shared" si="8"/>
        <v>0</v>
      </c>
      <c r="K50" s="792">
        <f t="shared" si="6"/>
        <v>0</v>
      </c>
      <c r="L50" s="804"/>
      <c r="N50" s="793"/>
      <c r="O50" s="785"/>
    </row>
    <row r="51" spans="1:15" ht="15" customHeight="1">
      <c r="A51" s="747">
        <f t="shared" si="7"/>
        <v>9</v>
      </c>
      <c r="B51" s="799">
        <v>303</v>
      </c>
      <c r="C51" s="800" t="s">
        <v>1423</v>
      </c>
      <c r="D51" s="1089">
        <v>15</v>
      </c>
      <c r="E51" s="1089" t="s">
        <v>974</v>
      </c>
      <c r="F51" s="781" t="s">
        <v>974</v>
      </c>
      <c r="G51" s="770" t="s">
        <v>974</v>
      </c>
      <c r="H51" s="848">
        <v>0</v>
      </c>
      <c r="I51" s="848">
        <v>0</v>
      </c>
      <c r="J51" s="792">
        <f t="shared" si="8"/>
        <v>0</v>
      </c>
      <c r="K51" s="792">
        <f t="shared" si="6"/>
        <v>0</v>
      </c>
      <c r="L51" s="804"/>
      <c r="N51" s="793"/>
      <c r="O51" s="785"/>
    </row>
    <row r="52" spans="1:15" ht="16" thickBot="1">
      <c r="A52" s="747">
        <f t="shared" si="7"/>
        <v>10</v>
      </c>
      <c r="G52" s="805"/>
      <c r="H52" s="797">
        <f>SUM(H44:H51)</f>
        <v>40258514</v>
      </c>
      <c r="I52" s="797">
        <f t="shared" ref="I52:K52" si="9">SUM(I44:I51)</f>
        <v>22238332</v>
      </c>
      <c r="J52" s="797">
        <f t="shared" si="9"/>
        <v>18020182</v>
      </c>
      <c r="K52" s="797">
        <f t="shared" si="9"/>
        <v>4860047.436365</v>
      </c>
      <c r="N52" s="798"/>
      <c r="O52" s="790"/>
    </row>
    <row r="53" spans="1:15" ht="15" customHeight="1" thickTop="1">
      <c r="B53" s="799"/>
      <c r="C53" s="800"/>
      <c r="D53" s="770"/>
      <c r="E53" s="770"/>
      <c r="F53" s="781"/>
      <c r="G53" s="803"/>
      <c r="L53" s="801"/>
      <c r="N53" s="790"/>
    </row>
    <row r="54" spans="1:15" ht="15" customHeight="1">
      <c r="A54" s="747">
        <f>A52+1</f>
        <v>11</v>
      </c>
      <c r="B54" s="799">
        <v>303</v>
      </c>
      <c r="C54" s="800" t="s">
        <v>1424</v>
      </c>
      <c r="D54" s="1090">
        <v>2</v>
      </c>
      <c r="E54" s="1090" t="s">
        <v>974</v>
      </c>
      <c r="F54" s="781" t="s">
        <v>974</v>
      </c>
      <c r="G54" s="770" t="s">
        <v>974</v>
      </c>
      <c r="H54" s="848">
        <v>0</v>
      </c>
      <c r="I54" s="848">
        <v>0</v>
      </c>
      <c r="J54" s="792">
        <f>H54-I54</f>
        <v>0</v>
      </c>
      <c r="K54" s="792">
        <f t="shared" ref="K54:K61" si="10">IF(G54="N/A", 0, G54*H54)</f>
        <v>0</v>
      </c>
      <c r="L54" s="804"/>
      <c r="N54" s="793"/>
      <c r="O54" s="785"/>
    </row>
    <row r="55" spans="1:15" ht="15" customHeight="1">
      <c r="A55" s="747">
        <f t="shared" ref="A55" si="11">A54+1</f>
        <v>12</v>
      </c>
      <c r="B55" s="799">
        <v>303</v>
      </c>
      <c r="C55" s="800" t="s">
        <v>1425</v>
      </c>
      <c r="D55" s="1090">
        <v>3</v>
      </c>
      <c r="E55" s="1090" t="s">
        <v>974</v>
      </c>
      <c r="F55" s="781" t="s">
        <v>974</v>
      </c>
      <c r="G55" s="782">
        <v>0.33333499999999999</v>
      </c>
      <c r="H55" s="848">
        <v>245309</v>
      </c>
      <c r="I55" s="848">
        <v>166947</v>
      </c>
      <c r="J55" s="792">
        <f t="shared" ref="J55:J61" si="12">H55-I55</f>
        <v>78362</v>
      </c>
      <c r="K55" s="792">
        <f t="shared" si="10"/>
        <v>81770.075515000004</v>
      </c>
      <c r="L55" s="804"/>
      <c r="N55" s="793"/>
      <c r="O55" s="785"/>
    </row>
    <row r="56" spans="1:15" ht="15" customHeight="1">
      <c r="A56" s="747">
        <f>A55+1</f>
        <v>13</v>
      </c>
      <c r="B56" s="799">
        <v>303</v>
      </c>
      <c r="C56" s="800" t="s">
        <v>1426</v>
      </c>
      <c r="D56" s="1090">
        <v>4</v>
      </c>
      <c r="E56" s="1090" t="s">
        <v>974</v>
      </c>
      <c r="F56" s="781" t="s">
        <v>974</v>
      </c>
      <c r="G56" s="770" t="s">
        <v>974</v>
      </c>
      <c r="H56" s="848">
        <v>0</v>
      </c>
      <c r="I56" s="848">
        <v>0</v>
      </c>
      <c r="J56" s="792">
        <f t="shared" si="12"/>
        <v>0</v>
      </c>
      <c r="K56" s="792">
        <f t="shared" si="10"/>
        <v>0</v>
      </c>
      <c r="L56" s="804"/>
      <c r="N56" s="793"/>
      <c r="O56" s="785"/>
    </row>
    <row r="57" spans="1:15" ht="15" customHeight="1">
      <c r="A57" s="747">
        <f t="shared" ref="A57:A66" si="13">A56+1</f>
        <v>14</v>
      </c>
      <c r="B57" s="799">
        <v>303</v>
      </c>
      <c r="C57" s="800" t="s">
        <v>1427</v>
      </c>
      <c r="D57" s="1090">
        <v>5</v>
      </c>
      <c r="E57" s="1090" t="s">
        <v>974</v>
      </c>
      <c r="F57" s="781" t="s">
        <v>974</v>
      </c>
      <c r="G57" s="782">
        <v>0.161832</v>
      </c>
      <c r="H57" s="848">
        <v>24216930</v>
      </c>
      <c r="I57" s="848">
        <v>15734249</v>
      </c>
      <c r="J57" s="792">
        <f>H57-I57</f>
        <v>8482681</v>
      </c>
      <c r="K57" s="792">
        <f>IF(G57="N/A", 0, G57*H57)</f>
        <v>3919074.2157600001</v>
      </c>
      <c r="L57" s="804"/>
      <c r="N57" s="793"/>
      <c r="O57" s="785"/>
    </row>
    <row r="58" spans="1:15" ht="15" customHeight="1">
      <c r="A58" s="747">
        <f t="shared" si="13"/>
        <v>15</v>
      </c>
      <c r="B58" s="799">
        <v>303</v>
      </c>
      <c r="C58" s="800" t="s">
        <v>1428</v>
      </c>
      <c r="D58" s="1090">
        <v>7</v>
      </c>
      <c r="E58" s="1090" t="s">
        <v>974</v>
      </c>
      <c r="F58" s="781" t="s">
        <v>974</v>
      </c>
      <c r="G58" s="770" t="s">
        <v>974</v>
      </c>
      <c r="H58" s="848">
        <v>0</v>
      </c>
      <c r="I58" s="848">
        <v>0</v>
      </c>
      <c r="J58" s="792">
        <f t="shared" si="12"/>
        <v>0</v>
      </c>
      <c r="K58" s="792">
        <f t="shared" si="10"/>
        <v>0</v>
      </c>
      <c r="L58" s="804"/>
      <c r="N58" s="793"/>
      <c r="O58" s="785"/>
    </row>
    <row r="59" spans="1:15" ht="15" customHeight="1">
      <c r="A59" s="747">
        <f t="shared" si="13"/>
        <v>16</v>
      </c>
      <c r="B59" s="799">
        <v>303</v>
      </c>
      <c r="C59" s="800" t="s">
        <v>1429</v>
      </c>
      <c r="D59" s="1090">
        <v>10</v>
      </c>
      <c r="E59" s="1090" t="s">
        <v>974</v>
      </c>
      <c r="F59" s="781" t="s">
        <v>974</v>
      </c>
      <c r="G59" s="770" t="s">
        <v>974</v>
      </c>
      <c r="H59" s="848">
        <v>0</v>
      </c>
      <c r="I59" s="848">
        <v>0</v>
      </c>
      <c r="J59" s="792">
        <f t="shared" si="12"/>
        <v>0</v>
      </c>
      <c r="K59" s="792">
        <f t="shared" si="10"/>
        <v>0</v>
      </c>
      <c r="L59" s="804"/>
      <c r="N59" s="793"/>
      <c r="O59" s="785"/>
    </row>
    <row r="60" spans="1:15" ht="15" customHeight="1">
      <c r="A60" s="747">
        <f t="shared" si="13"/>
        <v>17</v>
      </c>
      <c r="B60" s="799">
        <v>303</v>
      </c>
      <c r="C60" s="800" t="s">
        <v>1430</v>
      </c>
      <c r="D60" s="1090">
        <v>13</v>
      </c>
      <c r="E60" s="1090" t="s">
        <v>974</v>
      </c>
      <c r="F60" s="781" t="s">
        <v>974</v>
      </c>
      <c r="G60" s="770" t="s">
        <v>974</v>
      </c>
      <c r="H60" s="848">
        <v>0</v>
      </c>
      <c r="I60" s="848">
        <v>0</v>
      </c>
      <c r="J60" s="792">
        <f t="shared" si="12"/>
        <v>0</v>
      </c>
      <c r="K60" s="792">
        <f t="shared" si="10"/>
        <v>0</v>
      </c>
      <c r="L60" s="804"/>
      <c r="N60" s="793"/>
      <c r="O60" s="785"/>
    </row>
    <row r="61" spans="1:15" ht="15" customHeight="1">
      <c r="A61" s="747">
        <f t="shared" si="13"/>
        <v>18</v>
      </c>
      <c r="B61" s="799">
        <v>303</v>
      </c>
      <c r="C61" s="800" t="s">
        <v>1431</v>
      </c>
      <c r="D61" s="1090">
        <v>15</v>
      </c>
      <c r="E61" s="1090" t="s">
        <v>974</v>
      </c>
      <c r="F61" s="781" t="s">
        <v>974</v>
      </c>
      <c r="G61" s="770" t="s">
        <v>974</v>
      </c>
      <c r="H61" s="848">
        <v>0</v>
      </c>
      <c r="I61" s="848">
        <v>0</v>
      </c>
      <c r="J61" s="792">
        <f t="shared" si="12"/>
        <v>0</v>
      </c>
      <c r="K61" s="792">
        <f t="shared" si="10"/>
        <v>0</v>
      </c>
      <c r="L61" s="804"/>
      <c r="N61" s="793"/>
      <c r="O61" s="785"/>
    </row>
    <row r="62" spans="1:15" ht="15" customHeight="1" thickBot="1">
      <c r="A62" s="747">
        <f t="shared" si="13"/>
        <v>19</v>
      </c>
      <c r="B62" s="799"/>
      <c r="C62" s="800"/>
      <c r="D62" s="770"/>
      <c r="E62" s="770"/>
      <c r="F62" s="781"/>
      <c r="G62" s="801"/>
      <c r="H62" s="797">
        <f>SUM(H54:H61)</f>
        <v>24462239</v>
      </c>
      <c r="I62" s="797">
        <f t="shared" ref="I62:J62" si="14">SUM(I54:I61)</f>
        <v>15901196</v>
      </c>
      <c r="J62" s="797">
        <f t="shared" si="14"/>
        <v>8561043</v>
      </c>
      <c r="K62" s="797">
        <f>SUM(K54:K61)</f>
        <v>4000844.2912750002</v>
      </c>
      <c r="L62" s="806"/>
      <c r="N62" s="798"/>
      <c r="O62" s="790"/>
    </row>
    <row r="63" spans="1:15" ht="15" customHeight="1" thickTop="1">
      <c r="B63" s="799"/>
      <c r="C63" s="800"/>
      <c r="D63" s="770"/>
      <c r="E63" s="770"/>
      <c r="F63" s="781"/>
      <c r="G63" s="801"/>
      <c r="H63" s="792"/>
      <c r="I63" s="792"/>
      <c r="J63" s="792"/>
      <c r="K63" s="792"/>
      <c r="L63" s="806"/>
      <c r="N63" s="793"/>
    </row>
    <row r="64" spans="1:15" ht="15" customHeight="1">
      <c r="A64" s="747">
        <f>A62+1</f>
        <v>20</v>
      </c>
      <c r="B64" s="799">
        <v>303</v>
      </c>
      <c r="C64" s="800" t="s">
        <v>1443</v>
      </c>
      <c r="D64" s="770" t="s">
        <v>974</v>
      </c>
      <c r="E64" s="770" t="s">
        <v>974</v>
      </c>
      <c r="F64" s="781" t="s">
        <v>974</v>
      </c>
      <c r="G64" s="770" t="s">
        <v>974</v>
      </c>
      <c r="H64" s="848">
        <v>138060754</v>
      </c>
      <c r="I64" s="848">
        <v>111640336</v>
      </c>
      <c r="J64" s="792">
        <f t="shared" si="8"/>
        <v>26420418</v>
      </c>
      <c r="K64" s="792">
        <f>'4D - Intangible Pnt'!E105</f>
        <v>9279239.8048517257</v>
      </c>
      <c r="L64" s="804"/>
      <c r="N64" s="793"/>
    </row>
    <row r="65" spans="1:15" ht="15" customHeight="1">
      <c r="A65" s="747">
        <f t="shared" si="13"/>
        <v>21</v>
      </c>
      <c r="B65" s="799">
        <v>303</v>
      </c>
      <c r="C65" s="800" t="s">
        <v>975</v>
      </c>
      <c r="D65" s="770" t="s">
        <v>974</v>
      </c>
      <c r="E65" s="770" t="s">
        <v>974</v>
      </c>
      <c r="F65" s="781" t="s">
        <v>974</v>
      </c>
      <c r="G65" s="770" t="s">
        <v>974</v>
      </c>
      <c r="H65" s="848">
        <v>22968795</v>
      </c>
      <c r="I65" s="848">
        <v>14955108</v>
      </c>
      <c r="J65" s="792">
        <f>H65-I65</f>
        <v>8013687</v>
      </c>
      <c r="K65" s="265" t="s">
        <v>703</v>
      </c>
      <c r="N65" s="807"/>
    </row>
    <row r="66" spans="1:15" ht="15" customHeight="1" thickBot="1">
      <c r="A66" s="747">
        <f t="shared" si="13"/>
        <v>22</v>
      </c>
      <c r="B66" s="799"/>
      <c r="C66" s="800"/>
      <c r="D66" s="770"/>
      <c r="E66" s="770"/>
      <c r="F66" s="770"/>
      <c r="G66" s="801"/>
      <c r="H66" s="797">
        <f>SUM(H64:H65)</f>
        <v>161029549</v>
      </c>
      <c r="I66" s="797">
        <f t="shared" ref="I66:K66" si="15">SUM(I64:I65)</f>
        <v>126595444</v>
      </c>
      <c r="J66" s="797">
        <f t="shared" si="15"/>
        <v>34434105</v>
      </c>
      <c r="K66" s="797">
        <f t="shared" si="15"/>
        <v>9279239.8048517257</v>
      </c>
      <c r="M66" s="788"/>
      <c r="N66" s="798"/>
    </row>
    <row r="67" spans="1:15" ht="15" customHeight="1" thickTop="1">
      <c r="B67" s="755"/>
      <c r="C67" s="780"/>
      <c r="D67" s="802"/>
      <c r="E67" s="802"/>
      <c r="F67" s="802"/>
      <c r="G67" s="808"/>
      <c r="H67" s="792"/>
      <c r="I67" s="792"/>
      <c r="J67" s="792"/>
      <c r="K67" s="792"/>
      <c r="N67" s="793"/>
    </row>
    <row r="68" spans="1:15">
      <c r="A68" s="747">
        <f>A66+1</f>
        <v>23</v>
      </c>
      <c r="B68" s="755"/>
      <c r="C68" s="775" t="s">
        <v>1442</v>
      </c>
      <c r="D68" s="95"/>
      <c r="E68" s="95"/>
      <c r="F68" s="95"/>
      <c r="G68" s="776"/>
      <c r="H68" s="783"/>
      <c r="I68" s="783"/>
      <c r="J68" s="778"/>
      <c r="K68" s="779"/>
      <c r="N68" s="779"/>
    </row>
    <row r="69" spans="1:15">
      <c r="A69" s="747">
        <f t="shared" ref="A69:A96" si="16">A68+1</f>
        <v>24</v>
      </c>
      <c r="B69" s="769">
        <v>303</v>
      </c>
      <c r="C69" s="800" t="s">
        <v>1408</v>
      </c>
      <c r="D69" s="1091">
        <v>2</v>
      </c>
      <c r="E69" s="1091" t="s">
        <v>974</v>
      </c>
      <c r="F69" s="781" t="s">
        <v>974</v>
      </c>
      <c r="G69" s="770" t="s">
        <v>974</v>
      </c>
      <c r="H69" s="848">
        <v>0</v>
      </c>
      <c r="I69" s="848">
        <v>0</v>
      </c>
      <c r="J69" s="792">
        <f t="shared" ref="J69:J95" si="17">H69-I69</f>
        <v>0</v>
      </c>
      <c r="K69" s="792">
        <f t="shared" ref="K69:K76" si="18">IF(G69="N/A", 0, G69*H69)</f>
        <v>0</v>
      </c>
      <c r="L69" s="804"/>
      <c r="N69" s="793"/>
      <c r="O69" s="785"/>
    </row>
    <row r="70" spans="1:15">
      <c r="A70" s="747">
        <f t="shared" si="16"/>
        <v>25</v>
      </c>
      <c r="B70" s="769">
        <v>303</v>
      </c>
      <c r="C70" s="800" t="s">
        <v>1409</v>
      </c>
      <c r="D70" s="1091">
        <v>3</v>
      </c>
      <c r="E70" s="1091" t="s">
        <v>974</v>
      </c>
      <c r="F70" s="781" t="s">
        <v>974</v>
      </c>
      <c r="G70" s="782">
        <v>0.26991700000000002</v>
      </c>
      <c r="H70" s="848">
        <v>2228503</v>
      </c>
      <c r="I70" s="848">
        <v>818177</v>
      </c>
      <c r="J70" s="792">
        <f t="shared" si="17"/>
        <v>1410326</v>
      </c>
      <c r="K70" s="792">
        <f t="shared" si="18"/>
        <v>601510.84425100009</v>
      </c>
      <c r="L70" s="804"/>
      <c r="N70" s="793"/>
      <c r="O70" s="785"/>
    </row>
    <row r="71" spans="1:15">
      <c r="A71" s="747">
        <f t="shared" si="16"/>
        <v>26</v>
      </c>
      <c r="B71" s="769">
        <v>303</v>
      </c>
      <c r="C71" s="800" t="s">
        <v>1410</v>
      </c>
      <c r="D71" s="1091">
        <v>4</v>
      </c>
      <c r="E71" s="1091" t="s">
        <v>974</v>
      </c>
      <c r="F71" s="781" t="s">
        <v>974</v>
      </c>
      <c r="G71" s="770" t="s">
        <v>974</v>
      </c>
      <c r="H71" s="848">
        <v>0</v>
      </c>
      <c r="I71" s="848">
        <v>0</v>
      </c>
      <c r="J71" s="792">
        <f t="shared" si="17"/>
        <v>0</v>
      </c>
      <c r="K71" s="792">
        <f t="shared" si="18"/>
        <v>0</v>
      </c>
      <c r="L71" s="804"/>
      <c r="N71" s="793"/>
      <c r="O71" s="785"/>
    </row>
    <row r="72" spans="1:15">
      <c r="A72" s="747">
        <f t="shared" si="16"/>
        <v>27</v>
      </c>
      <c r="B72" s="769">
        <v>303</v>
      </c>
      <c r="C72" s="800" t="s">
        <v>1411</v>
      </c>
      <c r="D72" s="1091">
        <v>5</v>
      </c>
      <c r="E72" s="1091" t="s">
        <v>974</v>
      </c>
      <c r="F72" s="781" t="s">
        <v>974</v>
      </c>
      <c r="G72" s="782">
        <v>9.6315999999999999E-2</v>
      </c>
      <c r="H72" s="848">
        <v>260399789</v>
      </c>
      <c r="I72" s="848">
        <v>185298606</v>
      </c>
      <c r="J72" s="792">
        <f t="shared" si="17"/>
        <v>75101183</v>
      </c>
      <c r="K72" s="792">
        <f t="shared" si="18"/>
        <v>25080666.077323999</v>
      </c>
      <c r="L72" s="804"/>
      <c r="N72" s="793"/>
      <c r="O72" s="785"/>
    </row>
    <row r="73" spans="1:15">
      <c r="A73" s="747">
        <f t="shared" si="16"/>
        <v>28</v>
      </c>
      <c r="B73" s="769">
        <v>303</v>
      </c>
      <c r="C73" s="800" t="s">
        <v>1412</v>
      </c>
      <c r="D73" s="1091">
        <v>7</v>
      </c>
      <c r="E73" s="1091" t="s">
        <v>974</v>
      </c>
      <c r="F73" s="781" t="s">
        <v>974</v>
      </c>
      <c r="G73" s="770" t="s">
        <v>974</v>
      </c>
      <c r="H73" s="848">
        <v>0</v>
      </c>
      <c r="I73" s="848">
        <v>0</v>
      </c>
      <c r="J73" s="792">
        <f t="shared" si="17"/>
        <v>0</v>
      </c>
      <c r="K73" s="792">
        <f t="shared" si="18"/>
        <v>0</v>
      </c>
      <c r="L73" s="804"/>
      <c r="N73" s="793"/>
      <c r="O73" s="785"/>
    </row>
    <row r="74" spans="1:15">
      <c r="A74" s="747">
        <f t="shared" si="16"/>
        <v>29</v>
      </c>
      <c r="B74" s="769">
        <v>303</v>
      </c>
      <c r="C74" s="800" t="s">
        <v>1413</v>
      </c>
      <c r="D74" s="1091">
        <v>10</v>
      </c>
      <c r="E74" s="1091" t="s">
        <v>974</v>
      </c>
      <c r="F74" s="781" t="s">
        <v>974</v>
      </c>
      <c r="G74" s="770" t="s">
        <v>974</v>
      </c>
      <c r="H74" s="848">
        <v>0</v>
      </c>
      <c r="I74" s="848">
        <v>0</v>
      </c>
      <c r="J74" s="792">
        <f t="shared" si="17"/>
        <v>0</v>
      </c>
      <c r="K74" s="792">
        <f t="shared" si="18"/>
        <v>0</v>
      </c>
      <c r="L74" s="804"/>
      <c r="N74" s="793"/>
      <c r="O74" s="785"/>
    </row>
    <row r="75" spans="1:15">
      <c r="A75" s="747">
        <f t="shared" si="16"/>
        <v>30</v>
      </c>
      <c r="B75" s="769">
        <v>303</v>
      </c>
      <c r="C75" s="800" t="s">
        <v>1414</v>
      </c>
      <c r="D75" s="1091">
        <v>13</v>
      </c>
      <c r="E75" s="1091" t="s">
        <v>974</v>
      </c>
      <c r="F75" s="781" t="s">
        <v>974</v>
      </c>
      <c r="G75" s="770" t="s">
        <v>974</v>
      </c>
      <c r="H75" s="848">
        <v>0</v>
      </c>
      <c r="I75" s="848">
        <v>0</v>
      </c>
      <c r="J75" s="792">
        <f t="shared" si="17"/>
        <v>0</v>
      </c>
      <c r="K75" s="792">
        <f t="shared" si="18"/>
        <v>0</v>
      </c>
      <c r="L75" s="804"/>
      <c r="N75" s="793"/>
      <c r="O75" s="785"/>
    </row>
    <row r="76" spans="1:15">
      <c r="A76" s="747">
        <f t="shared" si="16"/>
        <v>31</v>
      </c>
      <c r="B76" s="769">
        <v>303</v>
      </c>
      <c r="C76" s="800" t="s">
        <v>1415</v>
      </c>
      <c r="D76" s="1091">
        <v>15</v>
      </c>
      <c r="E76" s="1091" t="s">
        <v>974</v>
      </c>
      <c r="F76" s="781" t="s">
        <v>974</v>
      </c>
      <c r="G76" s="770" t="s">
        <v>974</v>
      </c>
      <c r="H76" s="848">
        <v>0</v>
      </c>
      <c r="I76" s="848">
        <v>0</v>
      </c>
      <c r="J76" s="792">
        <f t="shared" si="17"/>
        <v>0</v>
      </c>
      <c r="K76" s="792">
        <f t="shared" si="18"/>
        <v>0</v>
      </c>
      <c r="L76" s="804"/>
      <c r="N76" s="793"/>
      <c r="O76" s="785"/>
    </row>
    <row r="77" spans="1:15">
      <c r="A77" s="747">
        <f t="shared" si="16"/>
        <v>32</v>
      </c>
      <c r="B77" s="769">
        <v>303</v>
      </c>
      <c r="C77" s="800" t="s">
        <v>975</v>
      </c>
      <c r="D77" s="1091" t="s">
        <v>974</v>
      </c>
      <c r="E77" s="1091" t="s">
        <v>974</v>
      </c>
      <c r="F77" s="781" t="s">
        <v>974</v>
      </c>
      <c r="G77" s="770" t="s">
        <v>974</v>
      </c>
      <c r="H77" s="848">
        <v>0</v>
      </c>
      <c r="I77" s="848">
        <v>0</v>
      </c>
      <c r="J77" s="792">
        <f t="shared" si="17"/>
        <v>0</v>
      </c>
      <c r="K77" s="809" t="s">
        <v>703</v>
      </c>
      <c r="N77" s="810"/>
      <c r="O77" s="785"/>
    </row>
    <row r="78" spans="1:15">
      <c r="A78" s="747">
        <f t="shared" si="16"/>
        <v>33</v>
      </c>
      <c r="B78" s="769">
        <v>390</v>
      </c>
      <c r="C78" s="780" t="s">
        <v>949</v>
      </c>
      <c r="D78" s="1092">
        <v>55</v>
      </c>
      <c r="E78" s="1093" t="s">
        <v>958</v>
      </c>
      <c r="F78" s="1085">
        <v>30.48</v>
      </c>
      <c r="G78" s="782">
        <v>1.7610000000000001E-2</v>
      </c>
      <c r="H78" s="848">
        <v>254707531</v>
      </c>
      <c r="I78" s="848">
        <v>65459165</v>
      </c>
      <c r="J78" s="792">
        <f t="shared" si="17"/>
        <v>189248366</v>
      </c>
      <c r="K78" s="792">
        <f t="shared" ref="K78:K81" si="19">IF(G78="N/A", 0, G78*H78)</f>
        <v>4485399.6209100001</v>
      </c>
      <c r="N78" s="793"/>
      <c r="O78" s="785"/>
    </row>
    <row r="79" spans="1:15">
      <c r="A79" s="747">
        <f t="shared" si="16"/>
        <v>34</v>
      </c>
      <c r="B79" s="769">
        <v>391.1</v>
      </c>
      <c r="C79" s="780" t="s">
        <v>959</v>
      </c>
      <c r="D79" s="1092">
        <v>10</v>
      </c>
      <c r="E79" s="1093" t="s">
        <v>960</v>
      </c>
      <c r="F79" s="1085">
        <v>0.5</v>
      </c>
      <c r="G79" s="782">
        <v>0.124989</v>
      </c>
      <c r="H79" s="848">
        <v>100641</v>
      </c>
      <c r="I79" s="848">
        <v>19417</v>
      </c>
      <c r="J79" s="792">
        <f t="shared" si="17"/>
        <v>81224</v>
      </c>
      <c r="K79" s="792">
        <f t="shared" si="19"/>
        <v>12579.017949000001</v>
      </c>
      <c r="N79" s="793"/>
      <c r="O79" s="785"/>
    </row>
    <row r="80" spans="1:15">
      <c r="A80" s="747">
        <f t="shared" si="16"/>
        <v>35</v>
      </c>
      <c r="B80" s="769">
        <v>391.2</v>
      </c>
      <c r="C80" s="780" t="s">
        <v>961</v>
      </c>
      <c r="D80" s="1092">
        <v>15</v>
      </c>
      <c r="E80" s="1093" t="s">
        <v>960</v>
      </c>
      <c r="F80" s="1085">
        <v>10.52</v>
      </c>
      <c r="G80" s="782">
        <v>7.9435000000000006E-2</v>
      </c>
      <c r="H80" s="848">
        <v>17755063</v>
      </c>
      <c r="I80" s="848">
        <v>2782540</v>
      </c>
      <c r="J80" s="792">
        <f t="shared" si="17"/>
        <v>14972523</v>
      </c>
      <c r="K80" s="792">
        <f t="shared" si="19"/>
        <v>1410373.4294050001</v>
      </c>
      <c r="N80" s="793"/>
      <c r="O80" s="785"/>
    </row>
    <row r="81" spans="1:16">
      <c r="A81" s="747">
        <f t="shared" si="16"/>
        <v>36</v>
      </c>
      <c r="B81" s="769">
        <v>391.3</v>
      </c>
      <c r="C81" s="780" t="s">
        <v>962</v>
      </c>
      <c r="D81" s="1092">
        <v>5</v>
      </c>
      <c r="E81" s="1093" t="s">
        <v>960</v>
      </c>
      <c r="F81" s="1085">
        <v>2.91</v>
      </c>
      <c r="G81" s="782">
        <v>0.19669500000000001</v>
      </c>
      <c r="H81" s="848">
        <v>29413510</v>
      </c>
      <c r="I81" s="848">
        <v>13743442</v>
      </c>
      <c r="J81" s="792">
        <f t="shared" si="17"/>
        <v>15670068</v>
      </c>
      <c r="K81" s="792">
        <f t="shared" si="19"/>
        <v>5785490.3494500006</v>
      </c>
      <c r="N81" s="793"/>
      <c r="O81" s="785"/>
    </row>
    <row r="82" spans="1:16">
      <c r="A82" s="747">
        <f t="shared" si="16"/>
        <v>37</v>
      </c>
      <c r="B82" s="769">
        <v>392.1</v>
      </c>
      <c r="C82" s="780" t="s">
        <v>976</v>
      </c>
      <c r="D82" s="1092">
        <v>6</v>
      </c>
      <c r="E82" s="1093" t="s">
        <v>969</v>
      </c>
      <c r="F82" s="1085">
        <v>2.57</v>
      </c>
      <c r="G82" s="801" t="s">
        <v>974</v>
      </c>
      <c r="H82" s="848">
        <v>72947</v>
      </c>
      <c r="I82" s="848">
        <v>72712</v>
      </c>
      <c r="J82" s="792">
        <f t="shared" si="17"/>
        <v>235</v>
      </c>
      <c r="K82" s="809" t="s">
        <v>703</v>
      </c>
      <c r="M82" s="811"/>
      <c r="N82" s="812"/>
      <c r="O82" s="785"/>
    </row>
    <row r="83" spans="1:16">
      <c r="A83" s="747">
        <f t="shared" si="16"/>
        <v>38</v>
      </c>
      <c r="B83" s="769">
        <v>392.2</v>
      </c>
      <c r="C83" s="780" t="s">
        <v>977</v>
      </c>
      <c r="D83" s="1092">
        <v>12</v>
      </c>
      <c r="E83" s="1093" t="s">
        <v>1757</v>
      </c>
      <c r="F83" s="1085">
        <v>7.2</v>
      </c>
      <c r="G83" s="801" t="s">
        <v>974</v>
      </c>
      <c r="H83" s="848">
        <v>32461142</v>
      </c>
      <c r="I83" s="848">
        <v>14322876</v>
      </c>
      <c r="J83" s="792">
        <f t="shared" si="17"/>
        <v>18138266</v>
      </c>
      <c r="K83" s="809" t="s">
        <v>703</v>
      </c>
      <c r="M83" s="811"/>
      <c r="N83" s="812"/>
      <c r="O83" s="785"/>
    </row>
    <row r="84" spans="1:16">
      <c r="A84" s="747">
        <f t="shared" si="16"/>
        <v>39</v>
      </c>
      <c r="B84" s="769">
        <v>392.3</v>
      </c>
      <c r="C84" s="780" t="s">
        <v>979</v>
      </c>
      <c r="D84" s="1092">
        <v>14</v>
      </c>
      <c r="E84" s="1093" t="s">
        <v>952</v>
      </c>
      <c r="F84" s="1085">
        <v>8.49</v>
      </c>
      <c r="G84" s="801" t="s">
        <v>974</v>
      </c>
      <c r="H84" s="848">
        <v>73074273</v>
      </c>
      <c r="I84" s="848">
        <v>31453664</v>
      </c>
      <c r="J84" s="792">
        <f t="shared" si="17"/>
        <v>41620609</v>
      </c>
      <c r="K84" s="809" t="s">
        <v>703</v>
      </c>
      <c r="M84" s="811"/>
      <c r="N84" s="812"/>
      <c r="O84" s="785"/>
    </row>
    <row r="85" spans="1:16">
      <c r="A85" s="747">
        <f t="shared" si="16"/>
        <v>40</v>
      </c>
      <c r="B85" s="769">
        <v>392.4</v>
      </c>
      <c r="C85" s="780" t="s">
        <v>980</v>
      </c>
      <c r="D85" s="1092">
        <v>11</v>
      </c>
      <c r="E85" s="1093" t="s">
        <v>981</v>
      </c>
      <c r="F85" s="1085">
        <v>1.96</v>
      </c>
      <c r="G85" s="801" t="s">
        <v>974</v>
      </c>
      <c r="H85" s="848">
        <v>217614</v>
      </c>
      <c r="I85" s="848">
        <v>239163</v>
      </c>
      <c r="J85" s="792">
        <f t="shared" si="17"/>
        <v>-21549</v>
      </c>
      <c r="K85" s="809" t="s">
        <v>703</v>
      </c>
      <c r="M85" s="811"/>
      <c r="N85" s="812"/>
      <c r="O85" s="785"/>
    </row>
    <row r="86" spans="1:16">
      <c r="A86" s="747">
        <f t="shared" si="16"/>
        <v>41</v>
      </c>
      <c r="B86" s="769">
        <v>392.5</v>
      </c>
      <c r="C86" s="780" t="s">
        <v>982</v>
      </c>
      <c r="D86" s="1092">
        <v>14</v>
      </c>
      <c r="E86" s="1093" t="s">
        <v>1758</v>
      </c>
      <c r="F86" s="1085">
        <v>8.69</v>
      </c>
      <c r="G86" s="801" t="s">
        <v>974</v>
      </c>
      <c r="H86" s="848">
        <v>4029420</v>
      </c>
      <c r="I86" s="848">
        <v>2238508</v>
      </c>
      <c r="J86" s="792">
        <f t="shared" si="17"/>
        <v>1790912</v>
      </c>
      <c r="K86" s="809" t="s">
        <v>703</v>
      </c>
      <c r="M86" s="811"/>
      <c r="N86" s="812"/>
      <c r="O86" s="785"/>
    </row>
    <row r="87" spans="1:16">
      <c r="A87" s="747">
        <f t="shared" si="16"/>
        <v>42</v>
      </c>
      <c r="B87" s="769">
        <v>392.6</v>
      </c>
      <c r="C87" s="780" t="s">
        <v>983</v>
      </c>
      <c r="D87" s="1092">
        <v>15</v>
      </c>
      <c r="E87" s="1093" t="s">
        <v>981</v>
      </c>
      <c r="F87" s="1085">
        <v>8.0500000000000007</v>
      </c>
      <c r="G87" s="801" t="s">
        <v>974</v>
      </c>
      <c r="H87" s="848">
        <v>4476246</v>
      </c>
      <c r="I87" s="848">
        <v>3021070</v>
      </c>
      <c r="J87" s="792">
        <f t="shared" si="17"/>
        <v>1455176</v>
      </c>
      <c r="K87" s="809" t="s">
        <v>703</v>
      </c>
      <c r="M87" s="811"/>
      <c r="N87" s="812"/>
      <c r="O87" s="785"/>
    </row>
    <row r="88" spans="1:16">
      <c r="A88" s="747">
        <f t="shared" si="16"/>
        <v>43</v>
      </c>
      <c r="B88" s="769">
        <v>392.7</v>
      </c>
      <c r="C88" s="780" t="s">
        <v>1192</v>
      </c>
      <c r="D88" s="1092">
        <v>8</v>
      </c>
      <c r="E88" s="1092" t="s">
        <v>978</v>
      </c>
      <c r="F88" s="1085">
        <v>6.19</v>
      </c>
      <c r="G88" s="801" t="s">
        <v>974</v>
      </c>
      <c r="H88" s="848">
        <v>19498567</v>
      </c>
      <c r="I88" s="848">
        <v>5358119</v>
      </c>
      <c r="J88" s="792">
        <f t="shared" si="17"/>
        <v>14140448</v>
      </c>
      <c r="K88" s="809" t="s">
        <v>703</v>
      </c>
      <c r="N88" s="812"/>
      <c r="O88" s="785"/>
    </row>
    <row r="89" spans="1:16">
      <c r="A89" s="747">
        <f t="shared" si="16"/>
        <v>44</v>
      </c>
      <c r="B89" s="769">
        <v>393</v>
      </c>
      <c r="C89" s="780" t="s">
        <v>964</v>
      </c>
      <c r="D89" s="1092">
        <v>15</v>
      </c>
      <c r="E89" s="1093" t="s">
        <v>960</v>
      </c>
      <c r="F89" s="1085">
        <v>7.32</v>
      </c>
      <c r="G89" s="782">
        <v>8.0832000000000001E-2</v>
      </c>
      <c r="H89" s="848">
        <v>1225051</v>
      </c>
      <c r="I89" s="848">
        <v>397604</v>
      </c>
      <c r="J89" s="792">
        <f t="shared" si="17"/>
        <v>827447</v>
      </c>
      <c r="K89" s="792">
        <f t="shared" ref="K89:K91" si="20">IF(G89="N/A", 0, G89*H89)</f>
        <v>99023.322432000001</v>
      </c>
      <c r="N89" s="813"/>
      <c r="O89" s="785"/>
    </row>
    <row r="90" spans="1:16">
      <c r="A90" s="747">
        <f t="shared" si="16"/>
        <v>45</v>
      </c>
      <c r="B90" s="769">
        <v>394.1</v>
      </c>
      <c r="C90" s="780" t="s">
        <v>984</v>
      </c>
      <c r="D90" s="1092">
        <v>15</v>
      </c>
      <c r="E90" s="1093" t="s">
        <v>960</v>
      </c>
      <c r="F90" s="1085">
        <v>1.5</v>
      </c>
      <c r="G90" s="782">
        <v>0.92674000000000001</v>
      </c>
      <c r="H90" s="848">
        <v>9050</v>
      </c>
      <c r="I90" s="848">
        <v>539</v>
      </c>
      <c r="J90" s="792">
        <f t="shared" si="17"/>
        <v>8511</v>
      </c>
      <c r="K90" s="792">
        <f t="shared" si="20"/>
        <v>8386.9969999999994</v>
      </c>
      <c r="N90" s="813"/>
      <c r="O90" s="785"/>
    </row>
    <row r="91" spans="1:16">
      <c r="A91" s="747">
        <f t="shared" si="16"/>
        <v>46</v>
      </c>
      <c r="B91" s="769">
        <v>394.2</v>
      </c>
      <c r="C91" s="780" t="s">
        <v>985</v>
      </c>
      <c r="D91" s="1092">
        <v>15</v>
      </c>
      <c r="E91" s="1093" t="s">
        <v>960</v>
      </c>
      <c r="F91" s="1085">
        <v>12.15</v>
      </c>
      <c r="G91" s="782">
        <v>6.6103999999999996E-2</v>
      </c>
      <c r="H91" s="848">
        <v>786885</v>
      </c>
      <c r="I91" s="848">
        <v>182580</v>
      </c>
      <c r="J91" s="792">
        <f t="shared" si="17"/>
        <v>604305</v>
      </c>
      <c r="K91" s="792">
        <f t="shared" si="20"/>
        <v>52016.246039999998</v>
      </c>
      <c r="M91" s="811"/>
      <c r="N91" s="813"/>
      <c r="O91" s="785"/>
    </row>
    <row r="92" spans="1:16">
      <c r="A92" s="747">
        <f t="shared" si="16"/>
        <v>47</v>
      </c>
      <c r="B92" s="769">
        <v>394.3</v>
      </c>
      <c r="C92" s="780" t="s">
        <v>986</v>
      </c>
      <c r="D92" s="1092">
        <v>20</v>
      </c>
      <c r="E92" s="1093" t="s">
        <v>960</v>
      </c>
      <c r="F92" s="1085">
        <v>10.61</v>
      </c>
      <c r="G92" s="801" t="s">
        <v>974</v>
      </c>
      <c r="H92" s="848">
        <v>1509233</v>
      </c>
      <c r="I92" s="848">
        <v>704594</v>
      </c>
      <c r="J92" s="792">
        <f t="shared" si="17"/>
        <v>804639</v>
      </c>
      <c r="K92" s="809" t="s">
        <v>703</v>
      </c>
      <c r="M92" s="811"/>
      <c r="N92" s="812"/>
      <c r="O92" s="785"/>
    </row>
    <row r="93" spans="1:16">
      <c r="A93" s="747">
        <f t="shared" si="16"/>
        <v>48</v>
      </c>
      <c r="B93" s="769">
        <v>396</v>
      </c>
      <c r="C93" s="780" t="s">
        <v>987</v>
      </c>
      <c r="D93" s="1092">
        <v>12</v>
      </c>
      <c r="E93" s="1093" t="s">
        <v>1759</v>
      </c>
      <c r="F93" s="1085">
        <v>1.33</v>
      </c>
      <c r="G93" s="801" t="s">
        <v>974</v>
      </c>
      <c r="H93" s="848">
        <v>144167</v>
      </c>
      <c r="I93" s="848">
        <v>143635</v>
      </c>
      <c r="J93" s="792">
        <f t="shared" si="17"/>
        <v>532</v>
      </c>
      <c r="K93" s="809" t="s">
        <v>703</v>
      </c>
      <c r="M93" s="811"/>
      <c r="N93" s="812"/>
      <c r="O93" s="785"/>
    </row>
    <row r="94" spans="1:16">
      <c r="A94" s="747">
        <f t="shared" si="16"/>
        <v>49</v>
      </c>
      <c r="B94" s="769">
        <v>397</v>
      </c>
      <c r="C94" s="780" t="s">
        <v>968</v>
      </c>
      <c r="D94" s="1092">
        <v>20</v>
      </c>
      <c r="E94" s="1093" t="s">
        <v>969</v>
      </c>
      <c r="F94" s="1085">
        <v>13.25</v>
      </c>
      <c r="G94" s="782">
        <v>4.7149999999999997E-2</v>
      </c>
      <c r="H94" s="848">
        <v>80759359</v>
      </c>
      <c r="I94" s="848">
        <v>23083682</v>
      </c>
      <c r="J94" s="792">
        <f t="shared" si="17"/>
        <v>57675677</v>
      </c>
      <c r="K94" s="809">
        <f>IF(G94="N/A", 0, G94*H94)</f>
        <v>3807803.77685</v>
      </c>
      <c r="N94" s="812"/>
      <c r="O94" s="785"/>
    </row>
    <row r="95" spans="1:16">
      <c r="A95" s="747">
        <f t="shared" si="16"/>
        <v>50</v>
      </c>
      <c r="B95" s="769">
        <v>398</v>
      </c>
      <c r="C95" s="780" t="s">
        <v>972</v>
      </c>
      <c r="D95" s="1092">
        <v>15</v>
      </c>
      <c r="E95" s="1093" t="s">
        <v>960</v>
      </c>
      <c r="F95" s="1085">
        <v>11.99</v>
      </c>
      <c r="G95" s="782">
        <v>6.8820000000000006E-2</v>
      </c>
      <c r="H95" s="848">
        <v>967245</v>
      </c>
      <c r="I95" s="848">
        <v>560652</v>
      </c>
      <c r="J95" s="792">
        <f t="shared" si="17"/>
        <v>406593</v>
      </c>
      <c r="K95" s="792">
        <f t="shared" ref="K95" si="21">IF(G95="N/A", 0, G95*H95)</f>
        <v>66565.800900000002</v>
      </c>
      <c r="N95" s="813"/>
      <c r="O95" s="785"/>
    </row>
    <row r="96" spans="1:16" ht="16" thickBot="1">
      <c r="A96" s="747">
        <f t="shared" si="16"/>
        <v>51</v>
      </c>
      <c r="B96" s="755"/>
      <c r="C96" s="775"/>
      <c r="D96" s="95"/>
      <c r="E96" s="95"/>
      <c r="F96" s="95"/>
      <c r="G96" s="95"/>
      <c r="H96" s="814">
        <f>SUM(H69:H95)</f>
        <v>783836236</v>
      </c>
      <c r="I96" s="814">
        <f>SUM(I69:I95)</f>
        <v>349900745</v>
      </c>
      <c r="J96" s="814">
        <f>SUM(J69:J95)</f>
        <v>433935491</v>
      </c>
      <c r="K96" s="814">
        <f>SUM(K69:K95)</f>
        <v>41409815.482510999</v>
      </c>
      <c r="N96" s="815"/>
      <c r="O96" s="790"/>
      <c r="P96" s="816"/>
    </row>
    <row r="97" spans="1:13" ht="15" customHeight="1" thickTop="1">
      <c r="B97" s="799"/>
      <c r="C97" s="800"/>
      <c r="D97" s="770"/>
      <c r="E97" s="770"/>
      <c r="F97" s="770"/>
      <c r="G97" s="801"/>
      <c r="H97" s="798"/>
      <c r="I97" s="798"/>
      <c r="J97" s="798"/>
      <c r="K97" s="798"/>
      <c r="L97" s="232" t="s">
        <v>1455</v>
      </c>
      <c r="M97" s="788"/>
    </row>
    <row r="98" spans="1:13" ht="15" customHeight="1">
      <c r="B98" s="1146" t="s">
        <v>681</v>
      </c>
      <c r="C98" s="1146"/>
      <c r="D98" s="1146"/>
      <c r="E98" s="1146"/>
      <c r="F98" s="1146"/>
      <c r="G98" s="1146"/>
      <c r="H98" s="1146"/>
      <c r="I98" s="1146"/>
      <c r="J98" s="1146"/>
      <c r="K98" s="1146"/>
      <c r="L98" s="1146"/>
      <c r="M98" s="788"/>
    </row>
    <row r="99" spans="1:13" ht="15" customHeight="1">
      <c r="B99" s="1146" t="s">
        <v>1481</v>
      </c>
      <c r="C99" s="1146"/>
      <c r="D99" s="1146"/>
      <c r="E99" s="1146"/>
      <c r="F99" s="1146"/>
      <c r="G99" s="1146"/>
      <c r="H99" s="1146"/>
      <c r="I99" s="1146"/>
      <c r="J99" s="1146"/>
      <c r="K99" s="1146"/>
      <c r="L99" s="1146"/>
      <c r="M99" s="788"/>
    </row>
    <row r="100" spans="1:13" ht="20.5" customHeight="1">
      <c r="B100" s="817"/>
      <c r="C100" s="818"/>
      <c r="D100" s="818"/>
      <c r="E100" s="818"/>
      <c r="F100" s="818"/>
      <c r="G100" s="818"/>
      <c r="H100" s="818"/>
      <c r="I100" s="818"/>
      <c r="J100" s="818"/>
      <c r="K100" s="818"/>
      <c r="L100" s="818"/>
    </row>
    <row r="101" spans="1:13" ht="20.5" customHeight="1">
      <c r="B101" s="817"/>
      <c r="C101" s="818"/>
      <c r="D101" s="819" t="s">
        <v>1446</v>
      </c>
      <c r="E101" s="819" t="s">
        <v>1446</v>
      </c>
      <c r="F101" s="819" t="str">
        <f>+E101</f>
        <v>Current Year</v>
      </c>
      <c r="G101" s="819" t="s">
        <v>1448</v>
      </c>
      <c r="H101" s="819" t="s">
        <v>1446</v>
      </c>
      <c r="I101" s="242" t="s">
        <v>1458</v>
      </c>
      <c r="J101" s="242" t="s">
        <v>1458</v>
      </c>
      <c r="K101" s="242" t="s">
        <v>1446</v>
      </c>
      <c r="L101" s="242" t="s">
        <v>1446</v>
      </c>
    </row>
    <row r="102" spans="1:13" ht="19.399999999999999" customHeight="1">
      <c r="B102" s="732"/>
      <c r="D102" s="819" t="s">
        <v>1491</v>
      </c>
      <c r="E102" s="819" t="s">
        <v>1492</v>
      </c>
      <c r="F102" s="819" t="s">
        <v>1445</v>
      </c>
      <c r="G102" s="819" t="s">
        <v>1449</v>
      </c>
      <c r="H102" s="819" t="s">
        <v>1457</v>
      </c>
      <c r="I102" s="242" t="s">
        <v>1459</v>
      </c>
      <c r="J102" s="242" t="s">
        <v>1459</v>
      </c>
      <c r="K102" s="242" t="s">
        <v>1459</v>
      </c>
      <c r="L102" s="242" t="s">
        <v>1459</v>
      </c>
      <c r="M102" s="820"/>
    </row>
    <row r="103" spans="1:13" ht="19.399999999999999" customHeight="1">
      <c r="B103" s="16"/>
      <c r="C103" s="16"/>
      <c r="D103" s="819" t="s">
        <v>1447</v>
      </c>
      <c r="E103" s="819" t="s">
        <v>1500</v>
      </c>
      <c r="F103" s="17" t="s">
        <v>1460</v>
      </c>
      <c r="G103" s="819"/>
      <c r="H103" s="819" t="s">
        <v>1449</v>
      </c>
      <c r="I103" s="242" t="s">
        <v>1445</v>
      </c>
      <c r="J103" s="242" t="s">
        <v>1445</v>
      </c>
      <c r="K103" s="242" t="s">
        <v>1445</v>
      </c>
      <c r="L103" s="242" t="s">
        <v>1445</v>
      </c>
      <c r="M103" s="820"/>
    </row>
    <row r="104" spans="1:13" ht="19.399999999999999" customHeight="1">
      <c r="B104" s="16"/>
      <c r="C104" s="16"/>
      <c r="D104" s="17" t="s">
        <v>1460</v>
      </c>
      <c r="E104" s="17" t="s">
        <v>1460</v>
      </c>
      <c r="G104" s="16"/>
      <c r="H104" s="821"/>
      <c r="I104" s="17" t="s">
        <v>1460</v>
      </c>
      <c r="J104" s="17" t="s">
        <v>17</v>
      </c>
      <c r="K104" s="17" t="s">
        <v>1460</v>
      </c>
      <c r="L104" s="17" t="s">
        <v>17</v>
      </c>
      <c r="M104" s="820"/>
    </row>
    <row r="105" spans="1:13" ht="19.399999999999999" customHeight="1">
      <c r="B105" s="752"/>
      <c r="D105" s="752" t="s">
        <v>928</v>
      </c>
      <c r="E105" s="752" t="s">
        <v>929</v>
      </c>
      <c r="F105" s="822" t="s">
        <v>1461</v>
      </c>
      <c r="G105" s="242" t="s">
        <v>931</v>
      </c>
      <c r="H105" s="823" t="s">
        <v>1462</v>
      </c>
      <c r="I105" s="754" t="s">
        <v>933</v>
      </c>
      <c r="J105" s="242" t="s">
        <v>934</v>
      </c>
      <c r="K105" s="242" t="s">
        <v>1463</v>
      </c>
      <c r="L105" s="242" t="s">
        <v>1464</v>
      </c>
      <c r="M105" s="820"/>
    </row>
    <row r="106" spans="1:13" ht="19.399999999999999" customHeight="1">
      <c r="B106" s="16"/>
      <c r="C106" s="16"/>
      <c r="E106" s="16"/>
      <c r="F106" s="16"/>
      <c r="G106" s="16"/>
      <c r="H106" s="821"/>
      <c r="L106" s="820"/>
      <c r="M106" s="820"/>
    </row>
    <row r="107" spans="1:13" ht="19.399999999999999" customHeight="1">
      <c r="B107" s="16"/>
      <c r="C107" s="16"/>
      <c r="E107" s="16"/>
      <c r="F107" s="16"/>
      <c r="G107" s="16"/>
      <c r="H107" s="821"/>
      <c r="L107" s="820"/>
      <c r="M107" s="820"/>
    </row>
    <row r="108" spans="1:13" ht="19.399999999999999" customHeight="1">
      <c r="A108" s="747">
        <f>A106+1</f>
        <v>1</v>
      </c>
      <c r="B108" s="824" t="s">
        <v>17</v>
      </c>
      <c r="C108" s="16"/>
      <c r="D108" s="821">
        <f>'8 - Depreciation Rates'!K23</f>
        <v>27499483.839612998</v>
      </c>
      <c r="E108" s="1084">
        <v>27499130</v>
      </c>
      <c r="F108" s="749">
        <f>D108-E108</f>
        <v>353.83961299806833</v>
      </c>
      <c r="G108" s="825">
        <v>1</v>
      </c>
      <c r="H108" s="232">
        <f>F108*G108</f>
        <v>353.83961299806833</v>
      </c>
      <c r="I108" s="1083">
        <f>-1718.34864292293</f>
        <v>-1718.3486429229299</v>
      </c>
      <c r="J108" s="1083">
        <f>-1718.34864292293</f>
        <v>-1718.3486429229299</v>
      </c>
      <c r="K108" s="749">
        <f>I108+F108</f>
        <v>-1364.5090299248616</v>
      </c>
      <c r="L108" s="826">
        <f>H108+J108</f>
        <v>-1364.5090299248616</v>
      </c>
      <c r="M108" s="820"/>
    </row>
    <row r="109" spans="1:13" ht="19.399999999999999" customHeight="1">
      <c r="A109" s="747">
        <f>A108+1</f>
        <v>2</v>
      </c>
      <c r="B109" s="824" t="s">
        <v>880</v>
      </c>
      <c r="D109" s="821">
        <f>'8 - Depreciation Rates'!K38</f>
        <v>21207818.060013998</v>
      </c>
      <c r="E109" s="1084">
        <v>21213564</v>
      </c>
      <c r="F109" s="749">
        <f>D109-E109</f>
        <v>-5745.9399860017002</v>
      </c>
      <c r="G109" s="825">
        <f>'Attachment H-7'!I197</f>
        <v>9.9526966285675506E-2</v>
      </c>
      <c r="H109" s="232">
        <f>F109*G109</f>
        <v>-571.875975266306</v>
      </c>
      <c r="I109" s="1083">
        <v>30.4694593716413</v>
      </c>
      <c r="J109" s="1083">
        <f>2.9882353843345</f>
        <v>2.9882353843345002</v>
      </c>
      <c r="K109" s="749">
        <f t="shared" ref="K109:K113" si="22">I109+F109</f>
        <v>-5715.4705266300589</v>
      </c>
      <c r="L109" s="826">
        <f t="shared" ref="L109:L113" si="23">H109+J109</f>
        <v>-568.88773988197147</v>
      </c>
      <c r="M109" s="820"/>
    </row>
    <row r="110" spans="1:13" ht="19.399999999999999" customHeight="1">
      <c r="A110" s="747">
        <f>A109+1</f>
        <v>3</v>
      </c>
      <c r="B110" s="824" t="s">
        <v>1432</v>
      </c>
      <c r="D110" s="821">
        <f>'8 - Depreciation Rates'!K96</f>
        <v>41409815.482510999</v>
      </c>
      <c r="E110" s="1084">
        <v>41410054</v>
      </c>
      <c r="F110" s="749">
        <f>D110-E110</f>
        <v>-238.5174890011549</v>
      </c>
      <c r="G110" s="825">
        <f>G109</f>
        <v>9.9526966285675506E-2</v>
      </c>
      <c r="H110" s="232">
        <f>F110*G110</f>
        <v>-23.738922086361921</v>
      </c>
      <c r="I110" s="1083">
        <f>-10.797717988491</f>
        <v>-10.797717988491</v>
      </c>
      <c r="J110" s="1083">
        <f>-1.6435241525714</f>
        <v>-1.6435241525713999</v>
      </c>
      <c r="K110" s="749">
        <f t="shared" si="22"/>
        <v>-249.3152069896459</v>
      </c>
      <c r="L110" s="826">
        <f t="shared" si="23"/>
        <v>-25.382446238933319</v>
      </c>
      <c r="M110" s="820"/>
    </row>
    <row r="111" spans="1:13" ht="19.399999999999999" customHeight="1">
      <c r="A111" s="747">
        <f>A110+1</f>
        <v>4</v>
      </c>
      <c r="B111" s="824" t="s">
        <v>1450</v>
      </c>
      <c r="D111" s="821">
        <f>'8 - Depreciation Rates'!K52</f>
        <v>4860047.436365</v>
      </c>
      <c r="E111" s="821">
        <f>'4D - Intangible Pnt'!D105</f>
        <v>4860050.7151482739</v>
      </c>
      <c r="F111" s="749">
        <f t="shared" ref="F111:F113" si="24">D111-E111</f>
        <v>-3.2787832738831639</v>
      </c>
      <c r="G111" s="825">
        <f>G108</f>
        <v>1</v>
      </c>
      <c r="H111" s="232">
        <f t="shared" ref="H111:H113" si="25">F111*G111</f>
        <v>-3.2787832738831639</v>
      </c>
      <c r="I111" s="1083">
        <f>9270.29666470583</f>
        <v>9270.2966647058292</v>
      </c>
      <c r="J111" s="1083">
        <f>9270.29666479583</f>
        <v>9270.2966647958292</v>
      </c>
      <c r="K111" s="749">
        <f t="shared" si="22"/>
        <v>9267.0178814319461</v>
      </c>
      <c r="L111" s="826">
        <f t="shared" si="23"/>
        <v>9267.017881521946</v>
      </c>
      <c r="M111" s="820"/>
    </row>
    <row r="112" spans="1:13" ht="19.399999999999999" customHeight="1">
      <c r="A112" s="747">
        <f t="shared" ref="A112:A114" si="26">A111+1</f>
        <v>5</v>
      </c>
      <c r="B112" s="824" t="s">
        <v>1451</v>
      </c>
      <c r="D112" s="821">
        <f>+'8 - Depreciation Rates'!K62</f>
        <v>4000844.2912750002</v>
      </c>
      <c r="E112" s="821">
        <f>'4D - Intangible Pnt'!F105</f>
        <v>4000853.51</v>
      </c>
      <c r="F112" s="749">
        <f t="shared" si="24"/>
        <v>-9.218724999576807</v>
      </c>
      <c r="G112" s="825">
        <f>G110</f>
        <v>9.9526966285675506E-2</v>
      </c>
      <c r="H112" s="232">
        <f t="shared" si="25"/>
        <v>-0.91751173222979476</v>
      </c>
      <c r="I112" s="1083">
        <f>2.59692231984809</f>
        <v>2.59692231984809</v>
      </c>
      <c r="J112" s="1083">
        <f>0.155530265769022</f>
        <v>0.15553026576902201</v>
      </c>
      <c r="K112" s="749">
        <f t="shared" si="22"/>
        <v>-6.6218026797287166</v>
      </c>
      <c r="L112" s="826">
        <f t="shared" si="23"/>
        <v>-0.76198146646077269</v>
      </c>
      <c r="M112" s="820"/>
    </row>
    <row r="113" spans="1:13" ht="19.399999999999999" customHeight="1">
      <c r="A113" s="747">
        <f t="shared" si="26"/>
        <v>6</v>
      </c>
      <c r="B113" s="824" t="s">
        <v>1452</v>
      </c>
      <c r="D113" s="821">
        <f>+'8 - Depreciation Rates'!K66</f>
        <v>9279239.8048517257</v>
      </c>
      <c r="E113" s="821">
        <f>'4D - Intangible Pnt'!E105</f>
        <v>9279239.8048517257</v>
      </c>
      <c r="F113" s="749">
        <f t="shared" si="24"/>
        <v>0</v>
      </c>
      <c r="G113" s="825">
        <v>0</v>
      </c>
      <c r="H113" s="232">
        <f t="shared" si="25"/>
        <v>0</v>
      </c>
      <c r="I113" s="806">
        <v>0</v>
      </c>
      <c r="J113" s="806">
        <v>0</v>
      </c>
      <c r="K113" s="749">
        <f t="shared" si="22"/>
        <v>0</v>
      </c>
      <c r="L113" s="826">
        <f t="shared" si="23"/>
        <v>0</v>
      </c>
      <c r="M113" s="820"/>
    </row>
    <row r="114" spans="1:13" ht="19.399999999999999" customHeight="1">
      <c r="A114" s="747">
        <f t="shared" si="26"/>
        <v>7</v>
      </c>
      <c r="B114" s="827"/>
      <c r="D114" s="540"/>
      <c r="I114" s="825"/>
      <c r="J114" s="821"/>
      <c r="K114" s="821"/>
      <c r="L114" s="820"/>
      <c r="M114" s="820"/>
    </row>
    <row r="115" spans="1:13" ht="19.399999999999999" customHeight="1">
      <c r="A115" s="747">
        <f>A114+1</f>
        <v>8</v>
      </c>
      <c r="B115" s="828" t="s">
        <v>1465</v>
      </c>
      <c r="D115" s="540"/>
      <c r="H115" s="16"/>
      <c r="I115" s="825"/>
      <c r="J115" s="16"/>
      <c r="K115" s="821"/>
      <c r="L115" s="820"/>
      <c r="M115" s="820"/>
    </row>
    <row r="116" spans="1:13" ht="19.399999999999999" customHeight="1">
      <c r="B116" s="828"/>
      <c r="D116" s="540"/>
      <c r="E116" s="748" t="s">
        <v>1466</v>
      </c>
      <c r="F116" s="17" t="s">
        <v>1468</v>
      </c>
      <c r="G116" s="17" t="s">
        <v>1470</v>
      </c>
      <c r="H116" s="819" t="s">
        <v>1448</v>
      </c>
      <c r="I116" s="17" t="s">
        <v>1470</v>
      </c>
      <c r="J116" s="16"/>
      <c r="K116" s="821"/>
      <c r="L116" s="820"/>
      <c r="M116" s="820"/>
    </row>
    <row r="117" spans="1:13" ht="19.399999999999999" customHeight="1">
      <c r="B117" s="828"/>
      <c r="D117" s="540"/>
      <c r="E117" s="748" t="s">
        <v>1493</v>
      </c>
      <c r="F117" s="17" t="s">
        <v>1469</v>
      </c>
      <c r="G117" s="17" t="s">
        <v>1494</v>
      </c>
      <c r="H117" s="819" t="s">
        <v>1449</v>
      </c>
      <c r="I117" s="17" t="s">
        <v>1494</v>
      </c>
      <c r="J117" s="16"/>
      <c r="K117" s="821"/>
      <c r="L117" s="820"/>
      <c r="M117" s="820"/>
    </row>
    <row r="118" spans="1:13" ht="19.399999999999999" customHeight="1">
      <c r="A118" s="747">
        <f>A115+1</f>
        <v>9</v>
      </c>
      <c r="B118" s="829"/>
      <c r="C118" s="829"/>
      <c r="D118" s="829"/>
      <c r="E118" s="830" t="s">
        <v>1460</v>
      </c>
      <c r="F118" s="830" t="s">
        <v>1460</v>
      </c>
      <c r="G118" s="830" t="s">
        <v>1460</v>
      </c>
      <c r="I118" s="830" t="s">
        <v>17</v>
      </c>
      <c r="J118" s="16"/>
      <c r="K118" s="821"/>
      <c r="L118" s="820"/>
      <c r="M118" s="820"/>
    </row>
    <row r="119" spans="1:13" ht="19.399999999999999" customHeight="1">
      <c r="B119" s="829"/>
      <c r="C119" s="829"/>
      <c r="D119" s="829"/>
      <c r="E119" s="830"/>
      <c r="F119" s="830"/>
      <c r="G119" s="831"/>
      <c r="I119" s="831"/>
      <c r="J119" s="16"/>
      <c r="K119" s="821"/>
      <c r="L119" s="820"/>
      <c r="M119" s="820"/>
    </row>
    <row r="120" spans="1:13" ht="19.399999999999999" customHeight="1">
      <c r="B120" s="829"/>
      <c r="C120" s="829"/>
      <c r="D120" s="829"/>
      <c r="E120" s="830"/>
      <c r="F120" s="830"/>
      <c r="G120" s="831"/>
      <c r="I120" s="831"/>
      <c r="J120" s="16"/>
      <c r="K120" s="821"/>
      <c r="L120" s="820"/>
      <c r="M120" s="820"/>
    </row>
    <row r="121" spans="1:13" ht="19.399999999999999" customHeight="1">
      <c r="A121" s="747">
        <f>A118+1</f>
        <v>10</v>
      </c>
      <c r="B121" s="824" t="s">
        <v>17</v>
      </c>
      <c r="D121" s="829"/>
      <c r="E121" s="832">
        <f>'4- Rate Base'!J24</f>
        <v>563528222.62783265</v>
      </c>
      <c r="F121" s="784">
        <f>(I108+K108)/2</f>
        <v>-1541.4288364238957</v>
      </c>
      <c r="G121" s="784">
        <f>E121-F121</f>
        <v>563529764.05666912</v>
      </c>
      <c r="H121" s="833">
        <f>G108</f>
        <v>1</v>
      </c>
      <c r="I121" s="784">
        <f>G121*H121</f>
        <v>563529764.05666912</v>
      </c>
      <c r="J121" s="16"/>
      <c r="K121" s="821"/>
      <c r="L121" s="820"/>
      <c r="M121" s="820"/>
    </row>
    <row r="122" spans="1:13" ht="19.399999999999999" customHeight="1">
      <c r="A122" s="747">
        <f t="shared" ref="A122:A135" si="27">A121+1</f>
        <v>11</v>
      </c>
      <c r="B122" s="824" t="s">
        <v>880</v>
      </c>
      <c r="D122" s="829"/>
      <c r="E122" s="834">
        <f>'4- Rate Base'!K24</f>
        <v>114616846.86206418</v>
      </c>
      <c r="F122" s="784">
        <f t="shared" ref="F122:F126" si="28">(I109+K109)/2</f>
        <v>-2842.5005336292088</v>
      </c>
      <c r="G122" s="784">
        <f t="shared" ref="G122:G126" si="29">E122-F122</f>
        <v>114619689.36259781</v>
      </c>
      <c r="H122" s="833">
        <f t="shared" ref="H122:H125" si="30">G109</f>
        <v>9.9526966285675506E-2</v>
      </c>
      <c r="I122" s="784">
        <f t="shared" ref="I122:I126" si="31">G122*H122</f>
        <v>11407749.958865872</v>
      </c>
      <c r="J122" s="821"/>
      <c r="K122" s="821"/>
      <c r="L122" s="818"/>
    </row>
    <row r="123" spans="1:13">
      <c r="A123" s="747">
        <f t="shared" si="27"/>
        <v>12</v>
      </c>
      <c r="B123" s="824" t="s">
        <v>1432</v>
      </c>
      <c r="D123" s="829"/>
      <c r="E123" s="834">
        <f>'4- Rate Base'!L24</f>
        <v>364438425.10745102</v>
      </c>
      <c r="F123" s="784">
        <f t="shared" si="28"/>
        <v>-130.05646248906845</v>
      </c>
      <c r="G123" s="784">
        <f t="shared" si="29"/>
        <v>364438555.16391349</v>
      </c>
      <c r="H123" s="833">
        <f t="shared" si="30"/>
        <v>9.9526966285675506E-2</v>
      </c>
      <c r="I123" s="784">
        <f t="shared" si="31"/>
        <v>36271463.792999111</v>
      </c>
      <c r="J123" s="821"/>
      <c r="K123" s="821"/>
    </row>
    <row r="124" spans="1:13">
      <c r="A124" s="747">
        <f t="shared" si="27"/>
        <v>13</v>
      </c>
      <c r="B124" s="824" t="s">
        <v>1450</v>
      </c>
      <c r="D124" s="829"/>
      <c r="E124" s="834">
        <f>'4D - Intangible Pnt'!Q52</f>
        <v>22941553.527233448</v>
      </c>
      <c r="F124" s="784">
        <f t="shared" si="28"/>
        <v>9268.6572730688877</v>
      </c>
      <c r="G124" s="784">
        <f t="shared" si="29"/>
        <v>22932284.869960379</v>
      </c>
      <c r="H124" s="833">
        <f t="shared" si="30"/>
        <v>1</v>
      </c>
      <c r="I124" s="784">
        <f t="shared" si="31"/>
        <v>22932284.869960379</v>
      </c>
      <c r="J124" s="16"/>
      <c r="K124" s="821"/>
    </row>
    <row r="125" spans="1:13">
      <c r="A125" s="747">
        <f t="shared" si="27"/>
        <v>14</v>
      </c>
      <c r="B125" s="824" t="s">
        <v>1451</v>
      </c>
      <c r="D125" s="540"/>
      <c r="E125" s="834">
        <f>'4D - Intangible Pnt'!S52</f>
        <v>20979256.699713171</v>
      </c>
      <c r="F125" s="784">
        <f t="shared" si="28"/>
        <v>-2.0124401799403131</v>
      </c>
      <c r="G125" s="784">
        <f t="shared" si="29"/>
        <v>20979258.712153349</v>
      </c>
      <c r="H125" s="833">
        <f t="shared" si="30"/>
        <v>9.9526966285675506E-2</v>
      </c>
      <c r="I125" s="784">
        <f t="shared" si="31"/>
        <v>2088001.9745429505</v>
      </c>
      <c r="J125" s="16"/>
      <c r="K125" s="821"/>
    </row>
    <row r="126" spans="1:13">
      <c r="A126" s="747">
        <f t="shared" si="27"/>
        <v>15</v>
      </c>
      <c r="B126" s="824" t="s">
        <v>1452</v>
      </c>
      <c r="D126" s="16"/>
      <c r="E126" s="834">
        <f>'4D - Intangible Pnt'!R52</f>
        <v>129428243.19596916</v>
      </c>
      <c r="F126" s="832">
        <f t="shared" si="28"/>
        <v>0</v>
      </c>
      <c r="G126" s="784">
        <f t="shared" si="29"/>
        <v>129428243.19596916</v>
      </c>
      <c r="H126" s="833">
        <v>0</v>
      </c>
      <c r="I126" s="784">
        <f t="shared" si="31"/>
        <v>0</v>
      </c>
      <c r="J126" s="16"/>
      <c r="K126" s="821"/>
    </row>
    <row r="127" spans="1:13">
      <c r="A127" s="747">
        <f t="shared" si="27"/>
        <v>16</v>
      </c>
      <c r="B127" s="824" t="s">
        <v>1467</v>
      </c>
      <c r="D127" s="16"/>
      <c r="E127" s="834">
        <f>SUM(E124:E126)</f>
        <v>173349053.42291579</v>
      </c>
      <c r="F127" s="834">
        <f>SUM(F124:F126)</f>
        <v>9266.6448328889473</v>
      </c>
      <c r="G127" s="834">
        <f>SUM(G124:G126)</f>
        <v>173339786.77808291</v>
      </c>
      <c r="I127" s="834">
        <f>SUM(I124:I126)</f>
        <v>25020286.844503328</v>
      </c>
      <c r="J127" s="821"/>
      <c r="K127" s="16"/>
    </row>
    <row r="128" spans="1:13">
      <c r="A128" s="747">
        <f t="shared" si="27"/>
        <v>17</v>
      </c>
      <c r="B128" s="827"/>
      <c r="D128" s="540"/>
      <c r="I128" s="825"/>
      <c r="J128" s="821"/>
      <c r="K128" s="16"/>
    </row>
    <row r="129" spans="1:17">
      <c r="A129" s="747">
        <f t="shared" si="27"/>
        <v>18</v>
      </c>
      <c r="B129" s="827"/>
      <c r="D129" s="540"/>
      <c r="I129" s="835"/>
      <c r="J129" s="821"/>
      <c r="K129" s="16"/>
    </row>
    <row r="130" spans="1:17">
      <c r="A130" s="747">
        <f t="shared" si="27"/>
        <v>19</v>
      </c>
      <c r="B130" s="827"/>
      <c r="D130" s="540"/>
      <c r="H130" s="821"/>
      <c r="I130" s="16"/>
      <c r="J130" s="16"/>
      <c r="K130" s="821"/>
    </row>
    <row r="131" spans="1:17">
      <c r="A131" s="747">
        <f t="shared" si="27"/>
        <v>20</v>
      </c>
      <c r="B131" s="827"/>
      <c r="D131" s="540"/>
      <c r="H131" s="16"/>
      <c r="I131" s="16"/>
      <c r="J131" s="16"/>
      <c r="K131" s="821"/>
    </row>
    <row r="132" spans="1:17">
      <c r="A132" s="747">
        <f t="shared" si="27"/>
        <v>21</v>
      </c>
      <c r="B132" s="16"/>
      <c r="C132" s="16"/>
      <c r="H132" s="16"/>
      <c r="I132" s="16"/>
      <c r="J132" s="16"/>
      <c r="K132" s="821"/>
    </row>
    <row r="133" spans="1:17">
      <c r="A133" s="747">
        <f t="shared" si="27"/>
        <v>22</v>
      </c>
      <c r="B133" s="16"/>
      <c r="C133" s="16"/>
      <c r="H133" s="16"/>
      <c r="I133" s="16"/>
      <c r="J133" s="16"/>
      <c r="K133" s="821"/>
    </row>
    <row r="134" spans="1:17">
      <c r="A134" s="747">
        <f t="shared" si="27"/>
        <v>23</v>
      </c>
      <c r="B134" s="16"/>
      <c r="C134" s="16"/>
      <c r="H134" s="16"/>
      <c r="I134" s="16"/>
      <c r="J134" s="16"/>
      <c r="K134" s="821"/>
    </row>
    <row r="135" spans="1:17">
      <c r="A135" s="747">
        <f t="shared" si="27"/>
        <v>24</v>
      </c>
      <c r="B135" s="16"/>
      <c r="C135" s="16"/>
    </row>
    <row r="137" spans="1:17">
      <c r="B137" s="755"/>
      <c r="C137" s="775"/>
      <c r="D137" s="95"/>
      <c r="E137" s="95"/>
      <c r="F137" s="95"/>
      <c r="G137" s="95"/>
      <c r="H137" s="95"/>
      <c r="I137" s="783"/>
      <c r="J137" s="783"/>
      <c r="K137" s="783"/>
      <c r="L137" s="232" t="s">
        <v>1456</v>
      </c>
      <c r="O137" s="836"/>
      <c r="P137" s="837"/>
      <c r="Q137" s="838"/>
    </row>
    <row r="138" spans="1:17" ht="16" thickBot="1">
      <c r="B138" s="839" t="s">
        <v>182</v>
      </c>
      <c r="C138" s="840"/>
      <c r="D138" s="95"/>
      <c r="E138" s="95"/>
      <c r="F138" s="95"/>
      <c r="G138" s="95"/>
      <c r="H138" s="95"/>
      <c r="I138" s="783"/>
      <c r="J138" s="783"/>
      <c r="K138" s="783"/>
      <c r="L138" s="783"/>
      <c r="P138" s="816"/>
      <c r="Q138" s="795"/>
    </row>
    <row r="139" spans="1:17" s="844" customFormat="1" ht="18" customHeight="1">
      <c r="A139" s="841"/>
      <c r="B139" s="842">
        <v>1</v>
      </c>
      <c r="C139" s="843" t="s">
        <v>1495</v>
      </c>
      <c r="I139" s="845"/>
      <c r="J139" s="845"/>
      <c r="K139" s="845"/>
      <c r="L139" s="845"/>
      <c r="N139" s="846"/>
      <c r="O139" s="847"/>
    </row>
    <row r="140" spans="1:17" s="844" customFormat="1" ht="52.4" customHeight="1">
      <c r="A140" s="841"/>
      <c r="B140" s="842">
        <v>2</v>
      </c>
      <c r="C140" s="1149" t="s">
        <v>1201</v>
      </c>
      <c r="D140" s="1149"/>
      <c r="E140" s="1149"/>
      <c r="F140" s="1149"/>
      <c r="G140" s="1149"/>
      <c r="H140" s="1149"/>
      <c r="I140" s="1149"/>
      <c r="J140" s="1149"/>
      <c r="K140" s="1149"/>
      <c r="L140" s="1149"/>
      <c r="N140" s="846"/>
      <c r="O140" s="847"/>
    </row>
    <row r="141" spans="1:17" s="844" customFormat="1" ht="19.399999999999999" customHeight="1">
      <c r="A141" s="841"/>
      <c r="B141" s="842">
        <v>3</v>
      </c>
      <c r="C141" s="1147" t="s">
        <v>1485</v>
      </c>
      <c r="D141" s="1147"/>
      <c r="E141" s="1147"/>
      <c r="F141" s="1147"/>
      <c r="G141" s="1147"/>
      <c r="H141" s="1147"/>
      <c r="I141" s="1147"/>
      <c r="J141" s="1147"/>
      <c r="K141" s="1147"/>
      <c r="L141" s="1147"/>
      <c r="N141" s="846"/>
      <c r="O141" s="847"/>
    </row>
    <row r="142" spans="1:17" s="844" customFormat="1">
      <c r="A142" s="841"/>
      <c r="B142" s="842">
        <v>4</v>
      </c>
      <c r="C142" s="843" t="s">
        <v>1066</v>
      </c>
      <c r="I142" s="845"/>
      <c r="J142" s="845"/>
      <c r="K142" s="845"/>
      <c r="L142" s="845"/>
      <c r="N142" s="846"/>
      <c r="O142" s="847"/>
    </row>
    <row r="143" spans="1:17" s="844" customFormat="1">
      <c r="A143" s="841"/>
      <c r="B143" s="842">
        <v>5</v>
      </c>
      <c r="C143" s="843" t="s">
        <v>994</v>
      </c>
      <c r="I143" s="845"/>
      <c r="J143" s="845"/>
      <c r="K143" s="845"/>
      <c r="L143" s="845"/>
      <c r="N143" s="846"/>
      <c r="O143" s="847"/>
    </row>
    <row r="144" spans="1:17" s="844" customFormat="1">
      <c r="A144" s="841"/>
      <c r="B144" s="842">
        <v>6</v>
      </c>
      <c r="C144" s="1148" t="s">
        <v>369</v>
      </c>
      <c r="D144" s="1148"/>
      <c r="E144" s="1148"/>
      <c r="F144" s="1148"/>
      <c r="G144" s="1148"/>
      <c r="H144" s="1148"/>
      <c r="I144" s="1148"/>
      <c r="J144" s="1148"/>
      <c r="K144" s="1148"/>
      <c r="L144" s="1148"/>
      <c r="N144" s="846"/>
      <c r="O144" s="847"/>
    </row>
    <row r="145" spans="1:15" s="844" customFormat="1" ht="15.75" customHeight="1">
      <c r="A145" s="841"/>
      <c r="B145" s="842">
        <v>7</v>
      </c>
      <c r="C145" s="1148" t="s">
        <v>369</v>
      </c>
      <c r="D145" s="1148"/>
      <c r="E145" s="1148"/>
      <c r="F145" s="1148"/>
      <c r="G145" s="1148"/>
      <c r="H145" s="1148"/>
      <c r="I145" s="1148"/>
      <c r="J145" s="1148"/>
      <c r="K145" s="1148"/>
      <c r="L145" s="1148"/>
      <c r="N145" s="846"/>
      <c r="O145" s="847"/>
    </row>
    <row r="146" spans="1:15" s="844" customFormat="1">
      <c r="A146" s="841"/>
      <c r="B146" s="842">
        <v>8</v>
      </c>
      <c r="C146" s="843" t="s">
        <v>988</v>
      </c>
      <c r="I146" s="845"/>
      <c r="J146" s="845"/>
      <c r="K146" s="845"/>
      <c r="L146" s="845"/>
      <c r="N146" s="846"/>
      <c r="O146" s="847"/>
    </row>
    <row r="147" spans="1:15">
      <c r="B147" s="842">
        <v>9</v>
      </c>
      <c r="C147" s="843" t="s">
        <v>995</v>
      </c>
      <c r="D147" s="844"/>
      <c r="E147" s="844"/>
      <c r="F147" s="844"/>
      <c r="G147" s="844"/>
      <c r="H147" s="844"/>
      <c r="I147" s="845"/>
      <c r="J147" s="845"/>
      <c r="K147" s="845"/>
      <c r="L147" s="845"/>
      <c r="M147" s="844"/>
    </row>
    <row r="148" spans="1:15" ht="48" customHeight="1">
      <c r="B148" s="817">
        <v>10</v>
      </c>
      <c r="C148" s="1153" t="s">
        <v>1497</v>
      </c>
      <c r="D148" s="1153"/>
      <c r="E148" s="1153"/>
      <c r="F148" s="1153"/>
      <c r="G148" s="1153"/>
      <c r="H148" s="1153"/>
      <c r="I148" s="1153"/>
      <c r="J148" s="1153"/>
      <c r="K148" s="1153"/>
      <c r="L148" s="1153"/>
      <c r="M148" s="820"/>
    </row>
    <row r="149" spans="1:15" ht="14.25" customHeight="1">
      <c r="B149" s="817">
        <v>11</v>
      </c>
      <c r="C149" s="1154" t="s">
        <v>1444</v>
      </c>
      <c r="D149" s="1154"/>
      <c r="E149" s="1154"/>
      <c r="F149" s="1154"/>
      <c r="G149" s="1154"/>
      <c r="H149" s="1154"/>
      <c r="I149" s="1154"/>
      <c r="J149" s="1154"/>
      <c r="K149" s="1154"/>
      <c r="L149" s="1154"/>
    </row>
  </sheetData>
  <mergeCells count="13">
    <mergeCell ref="C148:L148"/>
    <mergeCell ref="B40:L40"/>
    <mergeCell ref="B41:L41"/>
    <mergeCell ref="C149:L149"/>
    <mergeCell ref="B98:L98"/>
    <mergeCell ref="B99:L99"/>
    <mergeCell ref="B2:L2"/>
    <mergeCell ref="B3:L3"/>
    <mergeCell ref="C141:L141"/>
    <mergeCell ref="C145:L145"/>
    <mergeCell ref="C140:L140"/>
    <mergeCell ref="C144:L144"/>
    <mergeCell ref="H13:J13"/>
  </mergeCells>
  <pageMargins left="0.5" right="0.5" top="0.5" bottom="0.5" header="0.05" footer="0.05"/>
  <pageSetup paperSize="17" scale="65" fitToHeight="0" orientation="landscape" r:id="rId1"/>
  <rowBreaks count="3" manualBreakCount="3">
    <brk id="38" max="11" man="1"/>
    <brk id="96" max="11" man="1"/>
    <brk id="13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P57"/>
  <sheetViews>
    <sheetView view="pageBreakPreview" zoomScale="60" zoomScaleNormal="70" workbookViewId="0">
      <selection activeCell="D5" sqref="D5"/>
    </sheetView>
  </sheetViews>
  <sheetFormatPr defaultColWidth="8.84375" defaultRowHeight="15.5"/>
  <cols>
    <col min="1" max="1" width="4.53515625" style="747" customWidth="1"/>
    <col min="2" max="2" width="41.84375" style="16" customWidth="1"/>
    <col min="3" max="3" width="18.07421875" style="16" customWidth="1"/>
    <col min="4" max="4" width="13.07421875" style="16" customWidth="1"/>
    <col min="5" max="5" width="12.84375" style="16" customWidth="1"/>
    <col min="6" max="6" width="13.3828125" style="16" customWidth="1"/>
    <col min="7" max="7" width="13.15234375" style="16" customWidth="1"/>
    <col min="8" max="8" width="14" style="16" customWidth="1"/>
    <col min="9" max="9" width="12.84375" style="16" customWidth="1"/>
    <col min="10" max="10" width="12.4609375" style="16" customWidth="1"/>
    <col min="11" max="11" width="13.765625" style="16" customWidth="1"/>
    <col min="12" max="12" width="12.84375" style="16" customWidth="1"/>
    <col min="13" max="13" width="12.61328125" style="16" customWidth="1"/>
    <col min="14" max="14" width="13.3046875" style="16" customWidth="1"/>
    <col min="15" max="15" width="13.53515625" style="16" customWidth="1"/>
    <col min="16" max="16" width="14.69140625" style="16" customWidth="1"/>
    <col min="17" max="17" width="11.53515625" style="16" bestFit="1" customWidth="1"/>
    <col min="18" max="16384" width="8.84375" style="16"/>
  </cols>
  <sheetData>
    <row r="1" spans="1:16" s="748" customFormat="1">
      <c r="A1" s="747"/>
      <c r="B1" s="1146" t="s">
        <v>1154</v>
      </c>
      <c r="C1" s="1146"/>
      <c r="D1" s="1146"/>
      <c r="E1" s="1146"/>
      <c r="F1" s="1146"/>
      <c r="G1" s="1146"/>
      <c r="H1" s="1146"/>
      <c r="I1" s="1146"/>
      <c r="J1" s="1146"/>
      <c r="K1" s="1146"/>
      <c r="L1" s="1146"/>
      <c r="M1" s="1146"/>
      <c r="N1" s="1146"/>
      <c r="O1" s="1146"/>
      <c r="P1" s="1146"/>
    </row>
    <row r="2" spans="1:16" s="748" customFormat="1">
      <c r="A2" s="747"/>
      <c r="B2" s="1146" t="s">
        <v>1389</v>
      </c>
      <c r="C2" s="1146"/>
      <c r="D2" s="1146"/>
      <c r="E2" s="1146"/>
      <c r="F2" s="1146"/>
      <c r="G2" s="1146"/>
      <c r="H2" s="1146"/>
      <c r="I2" s="1146"/>
      <c r="J2" s="1146"/>
      <c r="K2" s="1146"/>
      <c r="L2" s="1146"/>
      <c r="M2" s="1146"/>
      <c r="N2" s="1146"/>
      <c r="O2" s="1146"/>
      <c r="P2" s="1146"/>
    </row>
    <row r="3" spans="1:16" s="748" customFormat="1">
      <c r="A3" s="747"/>
      <c r="B3" s="1146" t="s">
        <v>681</v>
      </c>
      <c r="C3" s="1146"/>
      <c r="D3" s="1146"/>
      <c r="E3" s="1146"/>
      <c r="F3" s="1146"/>
      <c r="G3" s="1146"/>
      <c r="H3" s="1146"/>
      <c r="I3" s="1146"/>
      <c r="J3" s="1146"/>
      <c r="K3" s="1146"/>
      <c r="L3" s="1146"/>
      <c r="M3" s="1146"/>
      <c r="N3" s="1146"/>
      <c r="O3" s="1146"/>
      <c r="P3" s="1146"/>
    </row>
    <row r="4" spans="1:16" s="748" customFormat="1">
      <c r="A4" s="747"/>
      <c r="C4" s="368" t="s">
        <v>198</v>
      </c>
      <c r="D4" s="368" t="s">
        <v>199</v>
      </c>
      <c r="E4" s="849" t="s">
        <v>200</v>
      </c>
      <c r="F4" s="368" t="s">
        <v>201</v>
      </c>
      <c r="G4" s="368" t="s">
        <v>203</v>
      </c>
      <c r="H4" s="368" t="s">
        <v>202</v>
      </c>
      <c r="I4" s="368" t="s">
        <v>204</v>
      </c>
      <c r="J4" s="368" t="s">
        <v>205</v>
      </c>
      <c r="K4" s="368" t="s">
        <v>206</v>
      </c>
      <c r="L4" s="368" t="s">
        <v>244</v>
      </c>
      <c r="M4" s="368" t="s">
        <v>248</v>
      </c>
      <c r="N4" s="368" t="s">
        <v>453</v>
      </c>
      <c r="O4" s="17" t="s">
        <v>779</v>
      </c>
      <c r="P4" s="17" t="s">
        <v>780</v>
      </c>
    </row>
    <row r="5" spans="1:16">
      <c r="B5" s="850" t="s">
        <v>1208</v>
      </c>
    </row>
    <row r="6" spans="1:16">
      <c r="C6" s="851"/>
      <c r="D6" s="851" t="s">
        <v>84</v>
      </c>
      <c r="E6" s="851" t="s">
        <v>83</v>
      </c>
      <c r="F6" s="851" t="s">
        <v>171</v>
      </c>
      <c r="G6" s="851" t="s">
        <v>74</v>
      </c>
      <c r="H6" s="851" t="s">
        <v>73</v>
      </c>
      <c r="I6" s="851" t="s">
        <v>93</v>
      </c>
      <c r="J6" s="851" t="s">
        <v>81</v>
      </c>
      <c r="K6" s="851" t="s">
        <v>172</v>
      </c>
      <c r="L6" s="851" t="s">
        <v>79</v>
      </c>
      <c r="M6" s="851" t="s">
        <v>85</v>
      </c>
      <c r="N6" s="851" t="s">
        <v>78</v>
      </c>
      <c r="O6" s="851" t="s">
        <v>196</v>
      </c>
      <c r="P6" s="17" t="s">
        <v>13</v>
      </c>
    </row>
    <row r="7" spans="1:16">
      <c r="A7" s="747">
        <v>1</v>
      </c>
      <c r="B7" s="850" t="s">
        <v>1163</v>
      </c>
      <c r="D7" s="540"/>
      <c r="E7" s="540"/>
      <c r="F7" s="540"/>
      <c r="G7" s="540"/>
      <c r="H7" s="540"/>
      <c r="I7" s="540"/>
      <c r="J7" s="540"/>
      <c r="K7" s="540"/>
      <c r="L7" s="540"/>
      <c r="M7" s="540"/>
      <c r="N7" s="540"/>
      <c r="O7" s="540"/>
      <c r="P7" s="821"/>
    </row>
    <row r="8" spans="1:16" s="540" customFormat="1">
      <c r="A8" s="852">
        <f>A7+1</f>
        <v>2</v>
      </c>
      <c r="B8" s="853" t="s">
        <v>17</v>
      </c>
      <c r="D8" s="1084">
        <v>105708.41666666667</v>
      </c>
      <c r="E8" s="1084">
        <v>105708.41666666667</v>
      </c>
      <c r="F8" s="1084">
        <v>105708.41666666667</v>
      </c>
      <c r="G8" s="1084">
        <v>105708.41666666667</v>
      </c>
      <c r="H8" s="1084">
        <v>105708.41666666667</v>
      </c>
      <c r="I8" s="1084">
        <v>105708.41666666667</v>
      </c>
      <c r="J8" s="1084">
        <v>105708.41666666667</v>
      </c>
      <c r="K8" s="1084">
        <v>105708.41666666667</v>
      </c>
      <c r="L8" s="1084">
        <v>105708.41666666667</v>
      </c>
      <c r="M8" s="1084">
        <v>105708.41666666667</v>
      </c>
      <c r="N8" s="1084">
        <v>105708.41666666667</v>
      </c>
      <c r="O8" s="1084">
        <v>105708.41666666667</v>
      </c>
      <c r="P8" s="821">
        <f>SUM(D8:O8)</f>
        <v>1268501</v>
      </c>
    </row>
    <row r="9" spans="1:16" s="540" customFormat="1">
      <c r="A9" s="852"/>
      <c r="P9" s="854"/>
    </row>
    <row r="10" spans="1:16">
      <c r="A10" s="747">
        <f>A8+1</f>
        <v>3</v>
      </c>
      <c r="B10" s="853" t="s">
        <v>1158</v>
      </c>
      <c r="D10" s="1084">
        <v>2330.1666666666665</v>
      </c>
      <c r="E10" s="1084">
        <v>2330.1666666666665</v>
      </c>
      <c r="F10" s="1084">
        <v>2330.1666666666665</v>
      </c>
      <c r="G10" s="1084">
        <v>2330.1666666666665</v>
      </c>
      <c r="H10" s="1084">
        <v>2330.1666666666665</v>
      </c>
      <c r="I10" s="1084">
        <v>2330.1666666666665</v>
      </c>
      <c r="J10" s="1084">
        <v>2330.1666666666665</v>
      </c>
      <c r="K10" s="1084">
        <v>2330.1666666666665</v>
      </c>
      <c r="L10" s="1084">
        <v>2330.1666666666665</v>
      </c>
      <c r="M10" s="1084">
        <v>2330.1666666666665</v>
      </c>
      <c r="N10" s="1084">
        <v>2330.1666666666665</v>
      </c>
      <c r="O10" s="1084">
        <v>2330.1666666666665</v>
      </c>
      <c r="P10" s="821">
        <f>SUM(D10:O10)</f>
        <v>27962.000000000004</v>
      </c>
    </row>
    <row r="11" spans="1:16">
      <c r="A11" s="852">
        <f t="shared" ref="A11:A12" si="0">A10+1</f>
        <v>4</v>
      </c>
      <c r="B11" s="853" t="s">
        <v>1314</v>
      </c>
      <c r="D11" s="1086">
        <f>'Attachment H-7'!I197</f>
        <v>9.9526966285675506E-2</v>
      </c>
      <c r="E11" s="821"/>
      <c r="F11" s="821"/>
      <c r="G11" s="821"/>
      <c r="H11" s="821"/>
      <c r="I11" s="821"/>
      <c r="J11" s="821"/>
      <c r="K11" s="821"/>
      <c r="L11" s="821"/>
      <c r="M11" s="821"/>
      <c r="N11" s="821"/>
      <c r="O11" s="821"/>
      <c r="P11" s="821"/>
    </row>
    <row r="12" spans="1:16">
      <c r="A12" s="852">
        <f t="shared" si="0"/>
        <v>5</v>
      </c>
      <c r="B12" s="853" t="s">
        <v>1160</v>
      </c>
      <c r="D12" s="854">
        <f>D10*$D$11</f>
        <v>231.91441927333818</v>
      </c>
      <c r="E12" s="854">
        <f t="shared" ref="E12:O12" si="1">E10*$D$11</f>
        <v>231.91441927333818</v>
      </c>
      <c r="F12" s="854">
        <f t="shared" si="1"/>
        <v>231.91441927333818</v>
      </c>
      <c r="G12" s="854">
        <f t="shared" si="1"/>
        <v>231.91441927333818</v>
      </c>
      <c r="H12" s="854">
        <f t="shared" si="1"/>
        <v>231.91441927333818</v>
      </c>
      <c r="I12" s="854">
        <f t="shared" si="1"/>
        <v>231.91441927333818</v>
      </c>
      <c r="J12" s="854">
        <f t="shared" si="1"/>
        <v>231.91441927333818</v>
      </c>
      <c r="K12" s="854">
        <f t="shared" si="1"/>
        <v>231.91441927333818</v>
      </c>
      <c r="L12" s="854">
        <f t="shared" si="1"/>
        <v>231.91441927333818</v>
      </c>
      <c r="M12" s="854">
        <f t="shared" si="1"/>
        <v>231.91441927333818</v>
      </c>
      <c r="N12" s="854">
        <f t="shared" si="1"/>
        <v>231.91441927333818</v>
      </c>
      <c r="O12" s="854">
        <f t="shared" si="1"/>
        <v>231.91441927333818</v>
      </c>
      <c r="P12" s="821">
        <f>SUM(D12:O12)</f>
        <v>2782.9730312800584</v>
      </c>
    </row>
    <row r="13" spans="1:16">
      <c r="B13" s="540"/>
      <c r="C13" s="540"/>
      <c r="D13" s="540"/>
      <c r="E13" s="540"/>
      <c r="F13" s="540"/>
      <c r="G13" s="540"/>
      <c r="H13" s="540"/>
      <c r="I13" s="540"/>
      <c r="J13" s="540"/>
      <c r="K13" s="540"/>
      <c r="L13" s="540"/>
      <c r="M13" s="540"/>
      <c r="N13" s="540"/>
      <c r="O13" s="540"/>
      <c r="P13" s="854"/>
    </row>
    <row r="14" spans="1:16">
      <c r="A14" s="747">
        <f>A12+1</f>
        <v>6</v>
      </c>
      <c r="B14" s="853" t="s">
        <v>1161</v>
      </c>
      <c r="D14" s="1084">
        <v>41088.416666666664</v>
      </c>
      <c r="E14" s="1084">
        <v>41088.416666666664</v>
      </c>
      <c r="F14" s="1084">
        <v>41088.416666666664</v>
      </c>
      <c r="G14" s="1084">
        <v>41088.416666666664</v>
      </c>
      <c r="H14" s="1084">
        <v>41088.416666666664</v>
      </c>
      <c r="I14" s="1084">
        <v>41088.416666666664</v>
      </c>
      <c r="J14" s="1084">
        <v>41088.416666666664</v>
      </c>
      <c r="K14" s="1084">
        <v>41088.416666666664</v>
      </c>
      <c r="L14" s="1084">
        <v>41088.416666666664</v>
      </c>
      <c r="M14" s="1084">
        <v>41088.416666666664</v>
      </c>
      <c r="N14" s="1084">
        <v>41088.416666666664</v>
      </c>
      <c r="O14" s="1084">
        <v>41088.416666666664</v>
      </c>
      <c r="P14" s="821">
        <f>SUM(D14:O14)</f>
        <v>493061.00000000006</v>
      </c>
    </row>
    <row r="15" spans="1:16">
      <c r="A15" s="852">
        <f t="shared" ref="A15:A16" si="2">A14+1</f>
        <v>7</v>
      </c>
      <c r="B15" s="853" t="s">
        <v>1194</v>
      </c>
      <c r="D15" s="1086">
        <v>7.7531506736541217E-2</v>
      </c>
      <c r="E15" s="821"/>
      <c r="F15" s="821"/>
      <c r="G15" s="821"/>
      <c r="H15" s="821"/>
      <c r="I15" s="821"/>
      <c r="J15" s="821"/>
      <c r="K15" s="821"/>
      <c r="L15" s="821"/>
      <c r="M15" s="821"/>
      <c r="N15" s="821"/>
      <c r="O15" s="821"/>
      <c r="P15" s="821"/>
    </row>
    <row r="16" spans="1:16">
      <c r="A16" s="852">
        <f t="shared" si="2"/>
        <v>8</v>
      </c>
      <c r="B16" s="853" t="s">
        <v>1160</v>
      </c>
      <c r="D16" s="854">
        <f>D14*$D$15</f>
        <v>3185.6468535854788</v>
      </c>
      <c r="E16" s="854">
        <f t="shared" ref="E16:O16" si="3">E14*$D$15</f>
        <v>3185.6468535854788</v>
      </c>
      <c r="F16" s="854">
        <f t="shared" si="3"/>
        <v>3185.6468535854788</v>
      </c>
      <c r="G16" s="854">
        <f t="shared" si="3"/>
        <v>3185.6468535854788</v>
      </c>
      <c r="H16" s="854">
        <f t="shared" si="3"/>
        <v>3185.6468535854788</v>
      </c>
      <c r="I16" s="854">
        <f t="shared" si="3"/>
        <v>3185.6468535854788</v>
      </c>
      <c r="J16" s="854">
        <f t="shared" si="3"/>
        <v>3185.6468535854788</v>
      </c>
      <c r="K16" s="854">
        <f t="shared" si="3"/>
        <v>3185.6468535854788</v>
      </c>
      <c r="L16" s="854">
        <f t="shared" si="3"/>
        <v>3185.6468535854788</v>
      </c>
      <c r="M16" s="854">
        <f t="shared" si="3"/>
        <v>3185.6468535854788</v>
      </c>
      <c r="N16" s="854">
        <f t="shared" si="3"/>
        <v>3185.6468535854788</v>
      </c>
      <c r="O16" s="854">
        <f t="shared" si="3"/>
        <v>3185.6468535854788</v>
      </c>
      <c r="P16" s="821">
        <f>SUM(D16:O16)</f>
        <v>38227.762243025754</v>
      </c>
    </row>
    <row r="17" spans="1:16" s="540" customFormat="1">
      <c r="A17" s="852"/>
      <c r="B17" s="853"/>
      <c r="D17" s="854"/>
      <c r="E17" s="854"/>
      <c r="F17" s="854"/>
      <c r="G17" s="854"/>
      <c r="H17" s="854"/>
      <c r="I17" s="854"/>
      <c r="J17" s="854"/>
      <c r="K17" s="854"/>
      <c r="L17" s="854"/>
      <c r="M17" s="854"/>
      <c r="N17" s="854"/>
      <c r="O17" s="854"/>
      <c r="P17" s="854"/>
    </row>
    <row r="18" spans="1:16">
      <c r="A18" s="747">
        <f>A16+1</f>
        <v>9</v>
      </c>
      <c r="B18" s="855" t="s">
        <v>1162</v>
      </c>
      <c r="D18" s="854">
        <f>D8+D12+D16</f>
        <v>109125.97793952549</v>
      </c>
      <c r="E18" s="854">
        <f t="shared" ref="E18:O18" si="4">E8+E12+E16</f>
        <v>109125.97793952549</v>
      </c>
      <c r="F18" s="854">
        <f t="shared" si="4"/>
        <v>109125.97793952549</v>
      </c>
      <c r="G18" s="854">
        <f t="shared" si="4"/>
        <v>109125.97793952549</v>
      </c>
      <c r="H18" s="854">
        <f t="shared" si="4"/>
        <v>109125.97793952549</v>
      </c>
      <c r="I18" s="854">
        <f t="shared" si="4"/>
        <v>109125.97793952549</v>
      </c>
      <c r="J18" s="854">
        <f t="shared" si="4"/>
        <v>109125.97793952549</v>
      </c>
      <c r="K18" s="854">
        <f t="shared" si="4"/>
        <v>109125.97793952549</v>
      </c>
      <c r="L18" s="854">
        <f t="shared" si="4"/>
        <v>109125.97793952549</v>
      </c>
      <c r="M18" s="854">
        <f t="shared" si="4"/>
        <v>109125.97793952549</v>
      </c>
      <c r="N18" s="854">
        <f t="shared" si="4"/>
        <v>109125.97793952549</v>
      </c>
      <c r="O18" s="854">
        <f t="shared" si="4"/>
        <v>109125.97793952549</v>
      </c>
      <c r="P18" s="821">
        <f>SUM(D18:O18)</f>
        <v>1309511.7352743056</v>
      </c>
    </row>
    <row r="19" spans="1:16" s="540" customFormat="1">
      <c r="A19" s="852"/>
      <c r="P19" s="854"/>
    </row>
    <row r="20" spans="1:16">
      <c r="A20" s="747">
        <f>A18+1</f>
        <v>10</v>
      </c>
      <c r="B20" s="856" t="s">
        <v>1133</v>
      </c>
      <c r="D20" s="1084">
        <v>201938.35416666666</v>
      </c>
      <c r="E20" s="1084">
        <v>201938.35416666666</v>
      </c>
      <c r="F20" s="1084">
        <v>201938.35416666666</v>
      </c>
      <c r="G20" s="1084">
        <v>201938.35416666666</v>
      </c>
      <c r="H20" s="1084">
        <v>201938.35416666666</v>
      </c>
      <c r="I20" s="1084">
        <v>201938.35416666666</v>
      </c>
      <c r="J20" s="1084">
        <v>201938.35416666666</v>
      </c>
      <c r="K20" s="1084">
        <v>201938.35416666666</v>
      </c>
      <c r="L20" s="1084">
        <v>201938.35416666666</v>
      </c>
      <c r="M20" s="1084">
        <v>201938.35416666666</v>
      </c>
      <c r="N20" s="1084">
        <v>201938.35416666666</v>
      </c>
      <c r="O20" s="1084">
        <v>201938.35416666666</v>
      </c>
      <c r="P20" s="821">
        <f>SUM(D20:O20)</f>
        <v>2423260.25</v>
      </c>
    </row>
    <row r="21" spans="1:16" s="540" customFormat="1">
      <c r="A21" s="852"/>
      <c r="P21" s="854"/>
    </row>
    <row r="22" spans="1:16">
      <c r="A22" s="747">
        <f>A20+1</f>
        <v>11</v>
      </c>
      <c r="B22" s="856" t="s">
        <v>1134</v>
      </c>
      <c r="D22" s="1084">
        <v>74049</v>
      </c>
      <c r="E22" s="1084">
        <v>74049</v>
      </c>
      <c r="F22" s="1084">
        <v>74049</v>
      </c>
      <c r="G22" s="1084">
        <v>74048</v>
      </c>
      <c r="H22" s="1084">
        <v>74048</v>
      </c>
      <c r="I22" s="1084">
        <v>74048</v>
      </c>
      <c r="J22" s="1084">
        <v>74048</v>
      </c>
      <c r="K22" s="1084">
        <v>74048</v>
      </c>
      <c r="L22" s="1084">
        <v>74048</v>
      </c>
      <c r="M22" s="1084">
        <v>74048</v>
      </c>
      <c r="N22" s="1084">
        <v>74048</v>
      </c>
      <c r="O22" s="1084">
        <v>74048</v>
      </c>
      <c r="P22" s="821">
        <f t="shared" ref="P22:P23" si="5">SUM(D22:O22)</f>
        <v>888579</v>
      </c>
    </row>
    <row r="23" spans="1:16">
      <c r="A23" s="852">
        <f t="shared" ref="A23:A24" si="6">A22+1</f>
        <v>12</v>
      </c>
      <c r="B23" s="856" t="s">
        <v>1135</v>
      </c>
      <c r="D23" s="1084">
        <v>-78380.25</v>
      </c>
      <c r="E23" s="1084">
        <v>-78380.25</v>
      </c>
      <c r="F23" s="1084">
        <v>-78380.25</v>
      </c>
      <c r="G23" s="1084">
        <v>-78380.25</v>
      </c>
      <c r="H23" s="1084">
        <v>-78380.25</v>
      </c>
      <c r="I23" s="1084">
        <v>-78380.25</v>
      </c>
      <c r="J23" s="1084">
        <v>-78380.25</v>
      </c>
      <c r="K23" s="1084">
        <v>-78380.25</v>
      </c>
      <c r="L23" s="1084">
        <v>-78380.25</v>
      </c>
      <c r="M23" s="1084">
        <v>-78380.25</v>
      </c>
      <c r="N23" s="1084">
        <v>-78380.25</v>
      </c>
      <c r="O23" s="1084">
        <v>-78380.25</v>
      </c>
      <c r="P23" s="821">
        <f t="shared" si="5"/>
        <v>-940563</v>
      </c>
    </row>
    <row r="24" spans="1:16">
      <c r="A24" s="852">
        <f t="shared" si="6"/>
        <v>13</v>
      </c>
      <c r="B24" s="856" t="s">
        <v>1136</v>
      </c>
      <c r="D24" s="821">
        <f t="shared" ref="D24:O24" si="7">SUM(D22:D23)</f>
        <v>-4331.25</v>
      </c>
      <c r="E24" s="821">
        <f t="shared" si="7"/>
        <v>-4331.25</v>
      </c>
      <c r="F24" s="821">
        <f t="shared" si="7"/>
        <v>-4331.25</v>
      </c>
      <c r="G24" s="821">
        <f t="shared" si="7"/>
        <v>-4332.25</v>
      </c>
      <c r="H24" s="821">
        <f t="shared" si="7"/>
        <v>-4332.25</v>
      </c>
      <c r="I24" s="821">
        <f t="shared" si="7"/>
        <v>-4332.25</v>
      </c>
      <c r="J24" s="821">
        <f t="shared" si="7"/>
        <v>-4332.25</v>
      </c>
      <c r="K24" s="821">
        <f t="shared" si="7"/>
        <v>-4332.25</v>
      </c>
      <c r="L24" s="821">
        <f t="shared" si="7"/>
        <v>-4332.25</v>
      </c>
      <c r="M24" s="821">
        <f t="shared" si="7"/>
        <v>-4332.25</v>
      </c>
      <c r="N24" s="821">
        <f t="shared" si="7"/>
        <v>-4332.25</v>
      </c>
      <c r="O24" s="821">
        <f t="shared" si="7"/>
        <v>-4332.25</v>
      </c>
      <c r="P24" s="821">
        <f>SUM(P22:P23)</f>
        <v>-51984</v>
      </c>
    </row>
    <row r="25" spans="1:16">
      <c r="B25" s="746"/>
      <c r="D25" s="540"/>
      <c r="E25" s="540"/>
      <c r="F25" s="540"/>
      <c r="G25" s="540"/>
      <c r="H25" s="540"/>
      <c r="I25" s="540"/>
      <c r="J25" s="540"/>
      <c r="K25" s="540"/>
      <c r="L25" s="540"/>
      <c r="M25" s="540"/>
      <c r="N25" s="540"/>
      <c r="O25" s="540"/>
    </row>
    <row r="26" spans="1:16">
      <c r="B26" s="746"/>
      <c r="D26" s="540"/>
      <c r="E26" s="540"/>
      <c r="F26" s="540"/>
      <c r="G26" s="540"/>
      <c r="H26" s="540"/>
      <c r="I26" s="540"/>
      <c r="J26" s="540"/>
      <c r="K26" s="540"/>
      <c r="L26" s="540"/>
      <c r="M26" s="540"/>
      <c r="N26" s="540"/>
      <c r="O26" s="540"/>
    </row>
    <row r="27" spans="1:16">
      <c r="B27" s="850" t="s">
        <v>1209</v>
      </c>
      <c r="D27" s="540"/>
      <c r="E27" s="540"/>
      <c r="F27" s="540"/>
      <c r="G27" s="540"/>
      <c r="H27" s="540"/>
      <c r="I27" s="540"/>
      <c r="J27" s="540"/>
      <c r="K27" s="540"/>
      <c r="L27" s="540"/>
      <c r="M27" s="540"/>
      <c r="N27" s="540"/>
      <c r="O27" s="540"/>
    </row>
    <row r="28" spans="1:16" ht="41.5" customHeight="1">
      <c r="C28" s="851" t="s">
        <v>195</v>
      </c>
      <c r="D28" s="851" t="s">
        <v>84</v>
      </c>
      <c r="E28" s="851" t="s">
        <v>83</v>
      </c>
      <c r="F28" s="851" t="s">
        <v>171</v>
      </c>
      <c r="G28" s="851" t="s">
        <v>74</v>
      </c>
      <c r="H28" s="851" t="s">
        <v>73</v>
      </c>
      <c r="I28" s="851" t="s">
        <v>93</v>
      </c>
      <c r="J28" s="851" t="s">
        <v>81</v>
      </c>
      <c r="K28" s="851" t="s">
        <v>172</v>
      </c>
      <c r="L28" s="851" t="s">
        <v>79</v>
      </c>
      <c r="M28" s="851" t="s">
        <v>85</v>
      </c>
      <c r="N28" s="851" t="s">
        <v>78</v>
      </c>
      <c r="O28" s="851" t="s">
        <v>196</v>
      </c>
      <c r="P28" s="830" t="s">
        <v>1210</v>
      </c>
    </row>
    <row r="29" spans="1:16">
      <c r="A29" s="747">
        <f>A24+1</f>
        <v>14</v>
      </c>
      <c r="B29" s="850" t="s">
        <v>1163</v>
      </c>
    </row>
    <row r="30" spans="1:16">
      <c r="A30" s="852">
        <f>A29+1</f>
        <v>15</v>
      </c>
      <c r="B30" s="853" t="s">
        <v>17</v>
      </c>
      <c r="C30" s="1084">
        <v>76629985</v>
      </c>
      <c r="D30" s="239">
        <f t="shared" ref="D30:N30" si="8">C30-D8</f>
        <v>76524276.583333328</v>
      </c>
      <c r="E30" s="239">
        <f t="shared" si="8"/>
        <v>76418568.166666657</v>
      </c>
      <c r="F30" s="239">
        <f t="shared" si="8"/>
        <v>76312859.749999985</v>
      </c>
      <c r="G30" s="239">
        <f t="shared" si="8"/>
        <v>76207151.333333313</v>
      </c>
      <c r="H30" s="239">
        <f t="shared" si="8"/>
        <v>76101442.916666642</v>
      </c>
      <c r="I30" s="239">
        <f t="shared" si="8"/>
        <v>75995734.49999997</v>
      </c>
      <c r="J30" s="239">
        <f t="shared" si="8"/>
        <v>75890026.083333299</v>
      </c>
      <c r="K30" s="239">
        <f t="shared" si="8"/>
        <v>75784317.666666627</v>
      </c>
      <c r="L30" s="239">
        <f t="shared" si="8"/>
        <v>75678609.249999955</v>
      </c>
      <c r="M30" s="239">
        <f t="shared" si="8"/>
        <v>75572900.833333284</v>
      </c>
      <c r="N30" s="239">
        <f t="shared" si="8"/>
        <v>75467192.416666612</v>
      </c>
      <c r="O30" s="239">
        <f>N30-O8</f>
        <v>75361483.99999994</v>
      </c>
      <c r="P30" s="857">
        <f>AVERAGE(C30,O30)</f>
        <v>75995734.49999997</v>
      </c>
    </row>
    <row r="31" spans="1:16">
      <c r="A31" s="852"/>
      <c r="B31" s="540"/>
      <c r="C31" s="854"/>
      <c r="D31" s="239"/>
      <c r="E31" s="239"/>
      <c r="F31" s="239"/>
      <c r="G31" s="239"/>
      <c r="H31" s="239"/>
      <c r="I31" s="239"/>
      <c r="J31" s="239"/>
      <c r="K31" s="239"/>
      <c r="L31" s="239"/>
      <c r="M31" s="239"/>
      <c r="N31" s="239"/>
      <c r="O31" s="239"/>
      <c r="P31" s="858"/>
    </row>
    <row r="32" spans="1:16">
      <c r="A32" s="747">
        <f>A30+1</f>
        <v>16</v>
      </c>
      <c r="B32" s="853" t="s">
        <v>1158</v>
      </c>
      <c r="C32" s="1084">
        <v>1415673</v>
      </c>
      <c r="D32" s="239">
        <f>C32-D10</f>
        <v>1413342.8333333333</v>
      </c>
      <c r="E32" s="239">
        <f t="shared" ref="E32:O32" si="9">D32-E10</f>
        <v>1411012.6666666665</v>
      </c>
      <c r="F32" s="239">
        <f t="shared" si="9"/>
        <v>1408682.4999999998</v>
      </c>
      <c r="G32" s="239">
        <f t="shared" si="9"/>
        <v>1406352.333333333</v>
      </c>
      <c r="H32" s="239">
        <f t="shared" si="9"/>
        <v>1404022.1666666663</v>
      </c>
      <c r="I32" s="239">
        <f t="shared" si="9"/>
        <v>1401691.9999999995</v>
      </c>
      <c r="J32" s="239">
        <f t="shared" si="9"/>
        <v>1399361.8333333328</v>
      </c>
      <c r="K32" s="239">
        <f t="shared" si="9"/>
        <v>1397031.666666666</v>
      </c>
      <c r="L32" s="239">
        <f t="shared" si="9"/>
        <v>1394701.4999999993</v>
      </c>
      <c r="M32" s="239">
        <f t="shared" si="9"/>
        <v>1392371.3333333326</v>
      </c>
      <c r="N32" s="239">
        <f t="shared" si="9"/>
        <v>1390041.1666666658</v>
      </c>
      <c r="O32" s="239">
        <f t="shared" si="9"/>
        <v>1387710.9999999991</v>
      </c>
      <c r="P32" s="857">
        <f>AVERAGE(C32,O32)</f>
        <v>1401691.9999999995</v>
      </c>
    </row>
    <row r="33" spans="1:16">
      <c r="A33" s="852">
        <f t="shared" ref="A33:A34" si="10">A32+1</f>
        <v>17</v>
      </c>
      <c r="B33" s="853" t="s">
        <v>1159</v>
      </c>
      <c r="C33" s="1086">
        <f>D11</f>
        <v>9.9526966285675506E-2</v>
      </c>
      <c r="D33" s="239"/>
      <c r="E33" s="239"/>
      <c r="F33" s="239"/>
      <c r="G33" s="239"/>
      <c r="H33" s="239"/>
      <c r="I33" s="239"/>
      <c r="J33" s="239"/>
      <c r="K33" s="239"/>
      <c r="L33" s="239"/>
      <c r="M33" s="239"/>
      <c r="N33" s="239"/>
      <c r="O33" s="239"/>
      <c r="P33" s="857"/>
    </row>
    <row r="34" spans="1:16">
      <c r="A34" s="852">
        <f t="shared" si="10"/>
        <v>18</v>
      </c>
      <c r="B34" s="853" t="s">
        <v>1160</v>
      </c>
      <c r="C34" s="854">
        <f>C32*$C$33</f>
        <v>140897.63894254109</v>
      </c>
      <c r="D34" s="857">
        <f t="shared" ref="D34:O34" si="11">D32*$C$33</f>
        <v>140665.72452326777</v>
      </c>
      <c r="E34" s="857">
        <f t="shared" si="11"/>
        <v>140433.81010399442</v>
      </c>
      <c r="F34" s="857">
        <f t="shared" si="11"/>
        <v>140201.89568472106</v>
      </c>
      <c r="G34" s="857">
        <f t="shared" si="11"/>
        <v>139969.98126544771</v>
      </c>
      <c r="H34" s="857">
        <f t="shared" si="11"/>
        <v>139738.06684617436</v>
      </c>
      <c r="I34" s="857">
        <f t="shared" si="11"/>
        <v>139506.15242690101</v>
      </c>
      <c r="J34" s="857">
        <f t="shared" si="11"/>
        <v>139274.23800762769</v>
      </c>
      <c r="K34" s="857">
        <f t="shared" si="11"/>
        <v>139042.32358835434</v>
      </c>
      <c r="L34" s="857">
        <f t="shared" si="11"/>
        <v>138810.40916908099</v>
      </c>
      <c r="M34" s="857">
        <f t="shared" si="11"/>
        <v>138578.49474980764</v>
      </c>
      <c r="N34" s="857">
        <f t="shared" si="11"/>
        <v>138346.58033053429</v>
      </c>
      <c r="O34" s="857">
        <f t="shared" si="11"/>
        <v>138114.66591126096</v>
      </c>
      <c r="P34" s="857">
        <f>AVERAGE(C34,O34)</f>
        <v>139506.15242690104</v>
      </c>
    </row>
    <row r="35" spans="1:16">
      <c r="B35" s="540"/>
      <c r="C35" s="854"/>
      <c r="D35" s="239"/>
      <c r="E35" s="239"/>
      <c r="F35" s="239"/>
      <c r="G35" s="239"/>
      <c r="H35" s="239"/>
      <c r="I35" s="239"/>
      <c r="J35" s="239"/>
      <c r="K35" s="239"/>
      <c r="L35" s="239"/>
      <c r="M35" s="239"/>
      <c r="N35" s="239"/>
      <c r="O35" s="239"/>
      <c r="P35" s="858"/>
    </row>
    <row r="36" spans="1:16">
      <c r="A36" s="747">
        <f>A34+1</f>
        <v>19</v>
      </c>
      <c r="B36" s="853" t="s">
        <v>1161</v>
      </c>
      <c r="C36" s="1084">
        <v>10336412</v>
      </c>
      <c r="D36" s="239">
        <f>C36-D14</f>
        <v>10295323.583333334</v>
      </c>
      <c r="E36" s="239">
        <f t="shared" ref="E36:O36" si="12">D36-E14</f>
        <v>10254235.166666668</v>
      </c>
      <c r="F36" s="239">
        <f t="shared" si="12"/>
        <v>10213146.750000002</v>
      </c>
      <c r="G36" s="239">
        <f t="shared" si="12"/>
        <v>10172058.333333336</v>
      </c>
      <c r="H36" s="239">
        <f t="shared" si="12"/>
        <v>10130969.91666667</v>
      </c>
      <c r="I36" s="239">
        <f t="shared" si="12"/>
        <v>10089881.500000004</v>
      </c>
      <c r="J36" s="239">
        <f t="shared" si="12"/>
        <v>10048793.083333338</v>
      </c>
      <c r="K36" s="239">
        <f t="shared" si="12"/>
        <v>10007704.666666672</v>
      </c>
      <c r="L36" s="239">
        <f t="shared" si="12"/>
        <v>9966616.2500000056</v>
      </c>
      <c r="M36" s="239">
        <f t="shared" si="12"/>
        <v>9925527.8333333395</v>
      </c>
      <c r="N36" s="239">
        <f t="shared" si="12"/>
        <v>9884439.4166666735</v>
      </c>
      <c r="O36" s="239">
        <f t="shared" si="12"/>
        <v>9843351.0000000075</v>
      </c>
      <c r="P36" s="857">
        <f>AVERAGE(C36,O36)</f>
        <v>10089881.500000004</v>
      </c>
    </row>
    <row r="37" spans="1:16">
      <c r="A37" s="852">
        <f t="shared" ref="A37:A38" si="13">A36+1</f>
        <v>20</v>
      </c>
      <c r="B37" s="853" t="s">
        <v>1159</v>
      </c>
      <c r="C37" s="1086">
        <f>D15</f>
        <v>7.7531506736541217E-2</v>
      </c>
      <c r="D37" s="239"/>
      <c r="E37" s="239"/>
      <c r="F37" s="239"/>
      <c r="G37" s="239"/>
      <c r="H37" s="239"/>
      <c r="I37" s="239"/>
      <c r="J37" s="239"/>
      <c r="K37" s="239"/>
      <c r="L37" s="239"/>
      <c r="M37" s="239"/>
      <c r="N37" s="239"/>
      <c r="O37" s="239"/>
      <c r="P37" s="857"/>
    </row>
    <row r="38" spans="1:16">
      <c r="A38" s="852">
        <f t="shared" si="13"/>
        <v>21</v>
      </c>
      <c r="B38" s="853" t="s">
        <v>1160</v>
      </c>
      <c r="C38" s="854">
        <f>C36*$C$37</f>
        <v>801397.59660966543</v>
      </c>
      <c r="D38" s="857">
        <f t="shared" ref="D38:O38" si="14">D36*$C$37</f>
        <v>798211.94975608005</v>
      </c>
      <c r="E38" s="857">
        <f t="shared" si="14"/>
        <v>795026.30290249456</v>
      </c>
      <c r="F38" s="857">
        <f t="shared" si="14"/>
        <v>791840.65604890918</v>
      </c>
      <c r="G38" s="857">
        <f t="shared" si="14"/>
        <v>788655.0091953238</v>
      </c>
      <c r="H38" s="857">
        <f t="shared" si="14"/>
        <v>785469.36234173831</v>
      </c>
      <c r="I38" s="857">
        <f t="shared" si="14"/>
        <v>782283.71548815293</v>
      </c>
      <c r="J38" s="857">
        <f t="shared" si="14"/>
        <v>779098.06863456743</v>
      </c>
      <c r="K38" s="857">
        <f t="shared" si="14"/>
        <v>775912.42178098205</v>
      </c>
      <c r="L38" s="857">
        <f t="shared" si="14"/>
        <v>772726.77492739656</v>
      </c>
      <c r="M38" s="857">
        <f t="shared" si="14"/>
        <v>769541.12807381118</v>
      </c>
      <c r="N38" s="857">
        <f t="shared" si="14"/>
        <v>766355.48122022569</v>
      </c>
      <c r="O38" s="857">
        <f t="shared" si="14"/>
        <v>763169.83436664031</v>
      </c>
      <c r="P38" s="857">
        <f>AVERAGE(C38,O38)</f>
        <v>782283.71548815281</v>
      </c>
    </row>
    <row r="39" spans="1:16">
      <c r="A39" s="852"/>
      <c r="B39" s="850"/>
      <c r="C39" s="854"/>
      <c r="D39" s="239"/>
      <c r="E39" s="239"/>
      <c r="F39" s="239"/>
      <c r="G39" s="239"/>
      <c r="H39" s="239"/>
      <c r="I39" s="239"/>
      <c r="J39" s="239"/>
      <c r="K39" s="239"/>
      <c r="L39" s="239"/>
      <c r="M39" s="239"/>
      <c r="N39" s="239"/>
      <c r="O39" s="239"/>
      <c r="P39" s="858"/>
    </row>
    <row r="40" spans="1:16">
      <c r="A40" s="747">
        <f>A38+1</f>
        <v>22</v>
      </c>
      <c r="B40" s="855" t="s">
        <v>1162</v>
      </c>
      <c r="C40" s="854">
        <f>C30+C34+C38</f>
        <v>77572280.235552207</v>
      </c>
      <c r="D40" s="857">
        <f t="shared" ref="D40:O40" si="15">D30+D34+D38</f>
        <v>77463154.257612675</v>
      </c>
      <c r="E40" s="857">
        <f t="shared" si="15"/>
        <v>77354028.279673144</v>
      </c>
      <c r="F40" s="857">
        <f t="shared" si="15"/>
        <v>77244902.301733613</v>
      </c>
      <c r="G40" s="857">
        <f t="shared" si="15"/>
        <v>77135776.323794082</v>
      </c>
      <c r="H40" s="857">
        <f t="shared" si="15"/>
        <v>77026650.345854551</v>
      </c>
      <c r="I40" s="857">
        <f t="shared" si="15"/>
        <v>76917524.367915019</v>
      </c>
      <c r="J40" s="857">
        <f t="shared" si="15"/>
        <v>76808398.389975503</v>
      </c>
      <c r="K40" s="857">
        <f t="shared" si="15"/>
        <v>76699272.412035972</v>
      </c>
      <c r="L40" s="857">
        <f t="shared" si="15"/>
        <v>76590146.434096426</v>
      </c>
      <c r="M40" s="857">
        <f t="shared" si="15"/>
        <v>76481020.456156909</v>
      </c>
      <c r="N40" s="857">
        <f t="shared" si="15"/>
        <v>76371894.478217378</v>
      </c>
      <c r="O40" s="857">
        <f t="shared" si="15"/>
        <v>76262768.500277832</v>
      </c>
      <c r="P40" s="857">
        <f>AVERAGE(C40,O40)</f>
        <v>76917524.367915019</v>
      </c>
    </row>
    <row r="41" spans="1:16" s="540" customFormat="1">
      <c r="A41" s="852"/>
      <c r="C41" s="859"/>
      <c r="D41" s="860"/>
      <c r="E41" s="860"/>
      <c r="F41" s="860"/>
      <c r="G41" s="860"/>
      <c r="H41" s="860"/>
      <c r="I41" s="860"/>
      <c r="J41" s="860"/>
      <c r="K41" s="860"/>
      <c r="L41" s="860"/>
      <c r="M41" s="860"/>
      <c r="N41" s="860"/>
      <c r="O41" s="860"/>
      <c r="P41" s="860"/>
    </row>
    <row r="42" spans="1:16">
      <c r="A42" s="747">
        <f>A40+1</f>
        <v>23</v>
      </c>
      <c r="B42" s="856" t="s">
        <v>1133</v>
      </c>
      <c r="C42" s="1084">
        <v>9693044.9999999925</v>
      </c>
      <c r="D42" s="239">
        <f t="shared" ref="D42:O42" si="16">C42-D20</f>
        <v>9491106.6458333265</v>
      </c>
      <c r="E42" s="239">
        <f t="shared" si="16"/>
        <v>9289168.2916666605</v>
      </c>
      <c r="F42" s="239">
        <f t="shared" si="16"/>
        <v>9087229.9374999944</v>
      </c>
      <c r="G42" s="239">
        <f t="shared" si="16"/>
        <v>8885291.5833333284</v>
      </c>
      <c r="H42" s="239">
        <f t="shared" si="16"/>
        <v>8683353.2291666623</v>
      </c>
      <c r="I42" s="239">
        <f t="shared" si="16"/>
        <v>8481414.8749999963</v>
      </c>
      <c r="J42" s="239">
        <f t="shared" si="16"/>
        <v>8279476.5208333293</v>
      </c>
      <c r="K42" s="239">
        <f t="shared" si="16"/>
        <v>8077538.1666666623</v>
      </c>
      <c r="L42" s="239">
        <f t="shared" si="16"/>
        <v>7875599.8124999953</v>
      </c>
      <c r="M42" s="239">
        <f t="shared" si="16"/>
        <v>7673661.4583333284</v>
      </c>
      <c r="N42" s="239">
        <f t="shared" si="16"/>
        <v>7471723.1041666614</v>
      </c>
      <c r="O42" s="239">
        <f t="shared" si="16"/>
        <v>7269784.7499999944</v>
      </c>
      <c r="P42" s="857">
        <f>AVERAGE(C42,O42)</f>
        <v>8481414.8749999925</v>
      </c>
    </row>
    <row r="43" spans="1:16" s="540" customFormat="1">
      <c r="A43" s="852"/>
      <c r="C43" s="859"/>
      <c r="D43" s="860"/>
      <c r="E43" s="860"/>
      <c r="F43" s="860"/>
      <c r="G43" s="860"/>
      <c r="H43" s="860"/>
      <c r="I43" s="860"/>
      <c r="J43" s="860"/>
      <c r="K43" s="860"/>
      <c r="L43" s="860"/>
      <c r="M43" s="860"/>
      <c r="N43" s="860"/>
      <c r="O43" s="860"/>
      <c r="P43" s="860"/>
    </row>
    <row r="44" spans="1:16">
      <c r="A44" s="747">
        <f>A42+1</f>
        <v>24</v>
      </c>
      <c r="B44" s="856" t="s">
        <v>1134</v>
      </c>
      <c r="C44" s="1084">
        <v>1777082</v>
      </c>
      <c r="D44" s="239">
        <f t="shared" ref="D44:O44" si="17">C44-D22</f>
        <v>1703033</v>
      </c>
      <c r="E44" s="239">
        <f t="shared" si="17"/>
        <v>1628984</v>
      </c>
      <c r="F44" s="239">
        <f t="shared" si="17"/>
        <v>1554935</v>
      </c>
      <c r="G44" s="239">
        <f t="shared" si="17"/>
        <v>1480887</v>
      </c>
      <c r="H44" s="239">
        <f t="shared" si="17"/>
        <v>1406839</v>
      </c>
      <c r="I44" s="239">
        <f t="shared" si="17"/>
        <v>1332791</v>
      </c>
      <c r="J44" s="239">
        <f t="shared" si="17"/>
        <v>1258743</v>
      </c>
      <c r="K44" s="239">
        <f t="shared" si="17"/>
        <v>1184695</v>
      </c>
      <c r="L44" s="239">
        <f t="shared" si="17"/>
        <v>1110647</v>
      </c>
      <c r="M44" s="239">
        <f t="shared" si="17"/>
        <v>1036599</v>
      </c>
      <c r="N44" s="239">
        <f t="shared" si="17"/>
        <v>962551</v>
      </c>
      <c r="O44" s="239">
        <f t="shared" si="17"/>
        <v>888503</v>
      </c>
      <c r="P44" s="857">
        <f>AVERAGE(C44,O44)</f>
        <v>1332792.5</v>
      </c>
    </row>
    <row r="45" spans="1:16">
      <c r="A45" s="852">
        <f t="shared" ref="A45:A46" si="18">A44+1</f>
        <v>25</v>
      </c>
      <c r="B45" s="856" t="s">
        <v>1135</v>
      </c>
      <c r="C45" s="1084">
        <v>-1881068</v>
      </c>
      <c r="D45" s="239">
        <f t="shared" ref="D45:O45" si="19">C45-D23</f>
        <v>-1802687.75</v>
      </c>
      <c r="E45" s="239">
        <f t="shared" si="19"/>
        <v>-1724307.5</v>
      </c>
      <c r="F45" s="239">
        <f t="shared" si="19"/>
        <v>-1645927.25</v>
      </c>
      <c r="G45" s="239">
        <f t="shared" si="19"/>
        <v>-1567547</v>
      </c>
      <c r="H45" s="239">
        <f t="shared" si="19"/>
        <v>-1489166.75</v>
      </c>
      <c r="I45" s="239">
        <f t="shared" si="19"/>
        <v>-1410786.5</v>
      </c>
      <c r="J45" s="239">
        <f t="shared" si="19"/>
        <v>-1332406.25</v>
      </c>
      <c r="K45" s="239">
        <f t="shared" si="19"/>
        <v>-1254026</v>
      </c>
      <c r="L45" s="239">
        <f t="shared" si="19"/>
        <v>-1175645.75</v>
      </c>
      <c r="M45" s="239">
        <f t="shared" si="19"/>
        <v>-1097265.5</v>
      </c>
      <c r="N45" s="239">
        <f t="shared" si="19"/>
        <v>-1018885.25</v>
      </c>
      <c r="O45" s="239">
        <f t="shared" si="19"/>
        <v>-940505</v>
      </c>
      <c r="P45" s="857">
        <f>AVERAGE(C45,O45)</f>
        <v>-1410786.5</v>
      </c>
    </row>
    <row r="46" spans="1:16">
      <c r="A46" s="852">
        <f t="shared" si="18"/>
        <v>26</v>
      </c>
      <c r="B46" s="856" t="s">
        <v>1136</v>
      </c>
      <c r="C46" s="821">
        <f t="shared" ref="C46" si="20">SUM(C44:C45)</f>
        <v>-103986</v>
      </c>
      <c r="D46" s="858">
        <f t="shared" ref="D46" si="21">SUM(D44:D45)</f>
        <v>-99654.75</v>
      </c>
      <c r="E46" s="858">
        <f t="shared" ref="E46" si="22">SUM(E44:E45)</f>
        <v>-95323.5</v>
      </c>
      <c r="F46" s="858">
        <f t="shared" ref="F46" si="23">SUM(F44:F45)</f>
        <v>-90992.25</v>
      </c>
      <c r="G46" s="858">
        <f t="shared" ref="G46" si="24">SUM(G44:G45)</f>
        <v>-86660</v>
      </c>
      <c r="H46" s="858">
        <f t="shared" ref="H46" si="25">SUM(H44:H45)</f>
        <v>-82327.75</v>
      </c>
      <c r="I46" s="858">
        <f t="shared" ref="I46" si="26">SUM(I44:I45)</f>
        <v>-77995.5</v>
      </c>
      <c r="J46" s="858">
        <f t="shared" ref="J46" si="27">SUM(J44:J45)</f>
        <v>-73663.25</v>
      </c>
      <c r="K46" s="858">
        <f t="shared" ref="K46" si="28">SUM(K44:K45)</f>
        <v>-69331</v>
      </c>
      <c r="L46" s="858">
        <f t="shared" ref="L46" si="29">SUM(L44:L45)</f>
        <v>-64998.75</v>
      </c>
      <c r="M46" s="858">
        <f t="shared" ref="M46" si="30">SUM(M44:M45)</f>
        <v>-60666.5</v>
      </c>
      <c r="N46" s="858">
        <f t="shared" ref="N46" si="31">SUM(N44:N45)</f>
        <v>-56334.25</v>
      </c>
      <c r="O46" s="858">
        <f t="shared" ref="O46:P46" si="32">SUM(O44:O45)</f>
        <v>-52002</v>
      </c>
      <c r="P46" s="858">
        <f t="shared" si="32"/>
        <v>-77994</v>
      </c>
    </row>
    <row r="47" spans="1:16">
      <c r="D47" s="859"/>
      <c r="E47" s="859"/>
      <c r="F47" s="859"/>
      <c r="G47" s="859"/>
      <c r="H47" s="859"/>
      <c r="I47" s="859"/>
      <c r="J47" s="859"/>
      <c r="K47" s="859"/>
      <c r="L47" s="859"/>
      <c r="M47" s="859"/>
      <c r="N47" s="859"/>
      <c r="O47" s="859"/>
    </row>
    <row r="48" spans="1:16">
      <c r="D48" s="859"/>
      <c r="E48" s="859"/>
      <c r="F48" s="859"/>
      <c r="G48" s="859"/>
      <c r="H48" s="859"/>
      <c r="I48" s="859"/>
      <c r="J48" s="859"/>
      <c r="K48" s="859"/>
      <c r="L48" s="859"/>
      <c r="M48" s="859"/>
      <c r="N48" s="859"/>
      <c r="O48" s="859"/>
    </row>
    <row r="49" spans="1:16" ht="16" thickBot="1">
      <c r="A49" s="861" t="s">
        <v>182</v>
      </c>
    </row>
    <row r="50" spans="1:16" ht="45" customHeight="1">
      <c r="A50" s="746" t="s">
        <v>58</v>
      </c>
      <c r="B50" s="1155" t="s">
        <v>1484</v>
      </c>
      <c r="C50" s="1155"/>
      <c r="D50" s="1155"/>
      <c r="E50" s="1155"/>
      <c r="F50" s="1155"/>
      <c r="G50" s="1155"/>
      <c r="H50" s="1155"/>
      <c r="I50" s="1155"/>
      <c r="J50" s="1155"/>
      <c r="K50" s="1155"/>
      <c r="L50" s="1155"/>
      <c r="M50" s="1155"/>
      <c r="N50" s="1155"/>
      <c r="O50" s="1155"/>
      <c r="P50" s="1155"/>
    </row>
    <row r="51" spans="1:16">
      <c r="A51" s="16" t="s">
        <v>59</v>
      </c>
      <c r="B51" s="16" t="s">
        <v>1207</v>
      </c>
    </row>
    <row r="52" spans="1:16">
      <c r="A52" s="862"/>
      <c r="B52" s="863" t="s">
        <v>1140</v>
      </c>
      <c r="C52" s="746" t="s">
        <v>1137</v>
      </c>
      <c r="F52" s="864"/>
    </row>
    <row r="53" spans="1:16">
      <c r="A53" s="862"/>
      <c r="B53" s="863" t="s">
        <v>1132</v>
      </c>
      <c r="C53" s="746" t="s">
        <v>1131</v>
      </c>
      <c r="D53" s="864"/>
    </row>
    <row r="54" spans="1:16">
      <c r="A54" s="862"/>
      <c r="B54" s="863" t="s">
        <v>1138</v>
      </c>
      <c r="C54" s="746" t="s">
        <v>1139</v>
      </c>
    </row>
    <row r="55" spans="1:16">
      <c r="A55" s="16"/>
      <c r="B55" s="16" t="s">
        <v>1325</v>
      </c>
    </row>
    <row r="56" spans="1:16">
      <c r="A56" s="540" t="s">
        <v>60</v>
      </c>
      <c r="B56" s="540" t="s">
        <v>1206</v>
      </c>
      <c r="C56" s="540"/>
      <c r="D56" s="540"/>
      <c r="E56" s="540"/>
      <c r="F56" s="540"/>
      <c r="G56" s="540"/>
      <c r="H56" s="540"/>
      <c r="I56" s="540"/>
      <c r="J56" s="540"/>
      <c r="K56" s="540"/>
      <c r="L56" s="540"/>
    </row>
    <row r="57" spans="1:16">
      <c r="A57" s="865" t="s">
        <v>61</v>
      </c>
      <c r="B57" s="540" t="s">
        <v>1322</v>
      </c>
    </row>
  </sheetData>
  <mergeCells count="4">
    <mergeCell ref="B3:P3"/>
    <mergeCell ref="B1:P1"/>
    <mergeCell ref="B2:P2"/>
    <mergeCell ref="B50:P50"/>
  </mergeCells>
  <pageMargins left="0.7" right="0.7" top="0.75" bottom="0.75" header="0.3" footer="0.3"/>
  <pageSetup scale="43" orientation="landscape" r:id="rId1"/>
  <ignoredErrors>
    <ignoredError sqref="C33:C35 D16:O19 D11 E15:O15 D21:O21 D24:O24 C3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55"/>
  <sheetViews>
    <sheetView view="pageBreakPreview" zoomScale="80" zoomScaleNormal="80" zoomScaleSheetLayoutView="80" workbookViewId="0">
      <selection activeCell="D27" sqref="D27"/>
    </sheetView>
  </sheetViews>
  <sheetFormatPr defaultColWidth="8.84375" defaultRowHeight="13"/>
  <cols>
    <col min="1" max="1" width="5.84375" style="21" customWidth="1"/>
    <col min="2" max="2" width="63.07421875" style="21" customWidth="1"/>
    <col min="3" max="3" width="47.4609375" style="21" bestFit="1" customWidth="1"/>
    <col min="4" max="4" width="16.3046875" style="21" customWidth="1"/>
    <col min="5" max="5" width="44.3046875" style="21" bestFit="1" customWidth="1"/>
    <col min="6" max="6" width="8.3046875" style="21" customWidth="1"/>
    <col min="7" max="7" width="16.84375" style="21" customWidth="1"/>
    <col min="8" max="8" width="4.84375" style="21" customWidth="1"/>
    <col min="9" max="9" width="18.69140625" style="21" customWidth="1"/>
    <col min="10" max="10" width="2.69140625" style="21" customWidth="1"/>
    <col min="11" max="11" width="13.07421875" style="21" customWidth="1"/>
    <col min="12" max="16384" width="8.84375" style="21"/>
  </cols>
  <sheetData>
    <row r="1" spans="1:11">
      <c r="A1" s="18"/>
      <c r="B1" s="18"/>
      <c r="C1" s="19"/>
      <c r="D1" s="18"/>
      <c r="E1" s="18"/>
      <c r="F1" s="18"/>
      <c r="G1" s="18"/>
      <c r="H1" s="18"/>
      <c r="I1" s="18"/>
      <c r="J1" s="18"/>
      <c r="K1" s="20" t="s">
        <v>102</v>
      </c>
    </row>
    <row r="2" spans="1:11">
      <c r="A2" s="18"/>
      <c r="B2" s="18" t="s">
        <v>912</v>
      </c>
      <c r="C2" s="18"/>
      <c r="D2" s="18"/>
      <c r="E2" s="18"/>
      <c r="F2" s="18"/>
      <c r="G2" s="18"/>
      <c r="H2" s="18"/>
      <c r="I2" s="18"/>
      <c r="J2" s="18"/>
      <c r="K2" s="18"/>
    </row>
    <row r="3" spans="1:11">
      <c r="A3" s="3"/>
      <c r="B3" s="22" t="s">
        <v>1</v>
      </c>
      <c r="C3" s="23"/>
      <c r="D3" s="24" t="s">
        <v>72</v>
      </c>
      <c r="E3" s="22"/>
      <c r="F3" s="22"/>
      <c r="G3" s="22"/>
      <c r="H3" s="25"/>
      <c r="I3" s="18"/>
      <c r="J3" s="25"/>
      <c r="K3" s="26" t="s">
        <v>1779</v>
      </c>
    </row>
    <row r="4" spans="1:11">
      <c r="A4" s="3"/>
      <c r="C4" s="4"/>
      <c r="D4" s="27" t="s">
        <v>98</v>
      </c>
      <c r="E4" s="4"/>
      <c r="F4" s="4"/>
      <c r="G4" s="4"/>
      <c r="H4" s="25"/>
      <c r="I4" s="25"/>
      <c r="J4" s="25"/>
      <c r="K4" s="25"/>
    </row>
    <row r="5" spans="1:11" ht="15">
      <c r="A5" s="3"/>
      <c r="B5" s="28"/>
      <c r="C5" s="25"/>
      <c r="D5" s="29" t="s">
        <v>681</v>
      </c>
      <c r="E5" s="25"/>
      <c r="F5" s="25"/>
      <c r="G5" s="25"/>
      <c r="H5" s="25"/>
      <c r="I5" s="25"/>
      <c r="J5" s="25"/>
      <c r="K5" s="25"/>
    </row>
    <row r="6" spans="1:11" ht="13.5">
      <c r="B6" s="28"/>
      <c r="J6" s="30"/>
      <c r="K6" s="30"/>
    </row>
    <row r="7" spans="1:11">
      <c r="A7" s="24"/>
      <c r="C7" s="25"/>
      <c r="D7" s="31"/>
      <c r="E7" s="25"/>
      <c r="F7" s="25"/>
      <c r="G7" s="25"/>
      <c r="H7" s="25"/>
      <c r="I7" s="32"/>
      <c r="J7" s="25"/>
      <c r="K7" s="25"/>
    </row>
    <row r="8" spans="1:11">
      <c r="A8" s="24"/>
      <c r="B8" s="24" t="s">
        <v>3</v>
      </c>
      <c r="C8" s="24" t="s">
        <v>4</v>
      </c>
      <c r="D8" s="24" t="s">
        <v>5</v>
      </c>
      <c r="E8" s="4" t="s">
        <v>2</v>
      </c>
      <c r="F8" s="4"/>
      <c r="G8" s="31" t="s">
        <v>6</v>
      </c>
      <c r="H8" s="4"/>
      <c r="I8" s="33" t="s">
        <v>7</v>
      </c>
      <c r="J8" s="25"/>
      <c r="K8" s="25"/>
    </row>
    <row r="9" spans="1:11">
      <c r="A9" s="24" t="s">
        <v>8</v>
      </c>
      <c r="B9" s="25"/>
      <c r="C9" s="25"/>
      <c r="D9" s="34"/>
      <c r="E9" s="25"/>
      <c r="F9" s="25"/>
      <c r="G9" s="25"/>
      <c r="H9" s="25"/>
      <c r="I9" s="33" t="s">
        <v>9</v>
      </c>
      <c r="J9" s="25"/>
      <c r="K9" s="25"/>
    </row>
    <row r="10" spans="1:11" ht="13.5" thickBot="1">
      <c r="A10" s="35" t="s">
        <v>10</v>
      </c>
      <c r="B10" s="25"/>
      <c r="C10" s="25"/>
      <c r="D10" s="25"/>
      <c r="E10" s="25"/>
      <c r="F10" s="25"/>
      <c r="G10" s="25"/>
      <c r="H10" s="25"/>
      <c r="I10" s="36" t="s">
        <v>11</v>
      </c>
      <c r="J10" s="25"/>
      <c r="K10" s="25"/>
    </row>
    <row r="11" spans="1:11">
      <c r="A11" s="24">
        <v>1</v>
      </c>
      <c r="B11" s="25" t="s">
        <v>215</v>
      </c>
      <c r="C11" s="25" t="str">
        <f>"(page 3, line "&amp;A170&amp;")"</f>
        <v>(page 3, line 48)</v>
      </c>
      <c r="D11" s="37"/>
      <c r="E11" s="25"/>
      <c r="F11" s="25"/>
      <c r="G11" s="25"/>
      <c r="H11" s="25"/>
      <c r="I11" s="32">
        <f>+I170</f>
        <v>223460666.05755207</v>
      </c>
      <c r="J11" s="25"/>
      <c r="K11" s="38"/>
    </row>
    <row r="12" spans="1:11">
      <c r="A12" s="24" t="s">
        <v>1196</v>
      </c>
      <c r="B12" s="21" t="s">
        <v>1197</v>
      </c>
      <c r="C12" s="25" t="s">
        <v>1198</v>
      </c>
      <c r="D12" s="25"/>
      <c r="E12" s="25"/>
      <c r="F12" s="25"/>
      <c r="G12" s="25"/>
      <c r="H12" s="25"/>
      <c r="I12" s="39">
        <f>'1-Project Rev Req'!S64</f>
        <v>0</v>
      </c>
      <c r="J12" s="25"/>
      <c r="K12" s="32"/>
    </row>
    <row r="13" spans="1:11" ht="13.5" thickBot="1">
      <c r="A13" s="24" t="s">
        <v>2</v>
      </c>
      <c r="C13" s="4"/>
      <c r="D13" s="35" t="s">
        <v>13</v>
      </c>
      <c r="E13" s="4"/>
      <c r="F13" s="40" t="s">
        <v>14</v>
      </c>
      <c r="G13" s="40"/>
      <c r="H13" s="25"/>
      <c r="I13" s="32"/>
      <c r="J13" s="25"/>
      <c r="K13" s="32"/>
    </row>
    <row r="14" spans="1:11">
      <c r="A14" s="24">
        <f>+A11+1</f>
        <v>2</v>
      </c>
      <c r="B14" s="22" t="s">
        <v>12</v>
      </c>
      <c r="C14" s="4" t="str">
        <f>"Attachment 5A, line "&amp;'5A - Revenue Credits'!A24</f>
        <v>Attachment 5A, line 15</v>
      </c>
      <c r="D14" s="39">
        <f>+'5A - Revenue Credits'!D24</f>
        <v>11884051.74398284</v>
      </c>
      <c r="E14" s="4"/>
      <c r="F14" s="4" t="s">
        <v>15</v>
      </c>
      <c r="G14" s="42">
        <f>I189</f>
        <v>1</v>
      </c>
      <c r="H14" s="43"/>
      <c r="I14" s="39">
        <f>+'5A - Revenue Credits'!D24</f>
        <v>11884051.74398284</v>
      </c>
      <c r="J14" s="25"/>
      <c r="K14" s="32"/>
    </row>
    <row r="15" spans="1:11" ht="13.5" thickBot="1">
      <c r="A15" s="24"/>
      <c r="B15" s="44"/>
      <c r="C15" s="45"/>
      <c r="D15" s="39"/>
      <c r="E15" s="4"/>
      <c r="F15" s="4"/>
      <c r="G15" s="41"/>
      <c r="H15" s="43"/>
      <c r="I15" s="46"/>
      <c r="J15" s="25"/>
      <c r="K15" s="32"/>
    </row>
    <row r="16" spans="1:11" ht="13.5" thickBot="1">
      <c r="A16" s="24">
        <f>+A14+1</f>
        <v>3</v>
      </c>
      <c r="B16" s="22" t="s">
        <v>16</v>
      </c>
      <c r="C16" s="25" t="s">
        <v>1202</v>
      </c>
      <c r="D16" s="47" t="s">
        <v>2</v>
      </c>
      <c r="E16" s="4"/>
      <c r="F16" s="4"/>
      <c r="G16" s="4"/>
      <c r="H16" s="4"/>
      <c r="I16" s="48">
        <f>+I11-I14-I12</f>
        <v>211576614.31356922</v>
      </c>
      <c r="J16" s="25"/>
      <c r="K16" s="49"/>
    </row>
    <row r="17" spans="1:11" ht="13.5" thickTop="1">
      <c r="A17" s="24"/>
      <c r="B17" s="3"/>
      <c r="C17" s="25"/>
      <c r="D17" s="47"/>
      <c r="E17" s="4"/>
      <c r="F17" s="4"/>
      <c r="G17" s="4"/>
      <c r="H17" s="4"/>
      <c r="I17" s="39"/>
      <c r="J17" s="25"/>
      <c r="K17" s="25"/>
    </row>
    <row r="18" spans="1:11">
      <c r="A18" s="24">
        <f>+A16+1</f>
        <v>4</v>
      </c>
      <c r="B18" s="3" t="s">
        <v>439</v>
      </c>
      <c r="C18" s="50" t="s">
        <v>1005</v>
      </c>
      <c r="D18" s="51"/>
      <c r="E18" s="52"/>
      <c r="F18" s="52"/>
      <c r="G18" s="52"/>
      <c r="H18" s="52"/>
      <c r="I18" s="53">
        <f>+'1-Project Rev Req'!Q95-'1-Project Rev Req'!Q66++'1-Project Rev Req'!S95-'1-Project Rev Req'!S66</f>
        <v>30871480.502527297</v>
      </c>
      <c r="J18" s="54"/>
      <c r="K18" s="54"/>
    </row>
    <row r="19" spans="1:11">
      <c r="A19" s="24">
        <f>+A18+1</f>
        <v>5</v>
      </c>
      <c r="B19" s="55" t="s">
        <v>441</v>
      </c>
      <c r="C19" s="50" t="s">
        <v>1006</v>
      </c>
      <c r="D19" s="51"/>
      <c r="E19" s="52"/>
      <c r="F19" s="52"/>
      <c r="G19" s="52"/>
      <c r="H19" s="52"/>
      <c r="I19" s="53">
        <f>+'1-Project Rev Req'!R95-'1-Project Rev Req'!R66</f>
        <v>1672589.7084108572</v>
      </c>
      <c r="J19" s="54"/>
      <c r="K19" s="54"/>
    </row>
    <row r="20" spans="1:11">
      <c r="A20" s="24">
        <f>+A19+1</f>
        <v>6</v>
      </c>
      <c r="B20" s="3" t="s">
        <v>442</v>
      </c>
      <c r="C20" s="50" t="s">
        <v>1007</v>
      </c>
      <c r="D20" s="51"/>
      <c r="E20" s="52"/>
      <c r="F20" s="52"/>
      <c r="G20" s="52"/>
      <c r="H20" s="52"/>
      <c r="I20" s="56">
        <f>+I18+I19</f>
        <v>32544070.210938156</v>
      </c>
      <c r="J20" s="54"/>
      <c r="K20" s="54"/>
    </row>
    <row r="21" spans="1:11">
      <c r="A21" s="57"/>
      <c r="C21" s="58"/>
      <c r="D21" s="59"/>
      <c r="E21" s="50"/>
      <c r="F21" s="60"/>
      <c r="G21" s="61"/>
      <c r="H21" s="50"/>
      <c r="I21" s="53"/>
      <c r="J21" s="62"/>
      <c r="K21" s="54"/>
    </row>
    <row r="22" spans="1:11">
      <c r="A22" s="57">
        <f>+A20+1</f>
        <v>7</v>
      </c>
      <c r="B22" s="3" t="s">
        <v>440</v>
      </c>
      <c r="C22" s="50" t="s">
        <v>1065</v>
      </c>
      <c r="D22" s="63"/>
      <c r="E22" s="63"/>
      <c r="F22" s="63"/>
      <c r="G22" s="63"/>
      <c r="H22" s="63"/>
      <c r="I22" s="53">
        <f>+'1-Project Rev Req'!Q66++'1-Project Rev Req'!S66-I14</f>
        <v>180705133.81104192</v>
      </c>
      <c r="J22" s="62"/>
      <c r="K22" s="64"/>
    </row>
    <row r="23" spans="1:11">
      <c r="A23" s="57">
        <f>+A22+1</f>
        <v>8</v>
      </c>
      <c r="B23" s="55" t="s">
        <v>444</v>
      </c>
      <c r="C23" s="50" t="s">
        <v>756</v>
      </c>
      <c r="D23" s="63"/>
      <c r="E23" s="65"/>
      <c r="F23" s="65"/>
      <c r="G23" s="65"/>
      <c r="H23" s="65"/>
      <c r="I23" s="66">
        <f>+'1-Project Rev Req'!R66</f>
        <v>14293293.855527446</v>
      </c>
      <c r="J23" s="62"/>
      <c r="K23" s="54"/>
    </row>
    <row r="24" spans="1:11">
      <c r="A24" s="57">
        <f>+A23+1</f>
        <v>9</v>
      </c>
      <c r="B24" s="3" t="s">
        <v>443</v>
      </c>
      <c r="C24" s="50" t="s">
        <v>1076</v>
      </c>
      <c r="D24" s="54"/>
      <c r="E24" s="54"/>
      <c r="F24" s="67"/>
      <c r="G24" s="54"/>
      <c r="H24" s="54"/>
      <c r="I24" s="56">
        <f>+I22+I23</f>
        <v>194998427.66656935</v>
      </c>
      <c r="J24" s="54"/>
      <c r="K24" s="64"/>
    </row>
    <row r="25" spans="1:11">
      <c r="A25" s="68"/>
      <c r="B25" s="69"/>
      <c r="C25" s="54"/>
      <c r="D25" s="54"/>
      <c r="E25" s="54"/>
      <c r="F25" s="67"/>
      <c r="G25" s="54"/>
      <c r="H25" s="54"/>
      <c r="I25" s="44"/>
      <c r="J25" s="54"/>
      <c r="K25" s="54"/>
    </row>
    <row r="26" spans="1:11">
      <c r="A26" s="68">
        <v>10</v>
      </c>
      <c r="B26" s="44" t="s">
        <v>663</v>
      </c>
      <c r="C26" s="54" t="s">
        <v>757</v>
      </c>
      <c r="D26" s="54"/>
      <c r="E26" s="54"/>
      <c r="F26" s="54"/>
      <c r="G26" s="54"/>
      <c r="H26" s="54"/>
      <c r="I26" s="56">
        <f>+'1-Project Rev Req'!P95</f>
        <v>0</v>
      </c>
      <c r="J26" s="54"/>
      <c r="K26" s="54"/>
    </row>
    <row r="27" spans="1:11">
      <c r="A27" s="68"/>
      <c r="B27" s="44"/>
      <c r="C27" s="54"/>
      <c r="D27" s="54"/>
      <c r="E27" s="54"/>
      <c r="F27" s="54"/>
      <c r="G27" s="54"/>
      <c r="H27" s="54"/>
      <c r="I27" s="44"/>
      <c r="J27" s="54"/>
      <c r="K27" s="54"/>
    </row>
    <row r="28" spans="1:11">
      <c r="A28" s="68">
        <v>11</v>
      </c>
      <c r="B28" s="69" t="s">
        <v>1067</v>
      </c>
      <c r="C28" s="54" t="s">
        <v>1068</v>
      </c>
      <c r="D28" s="70"/>
      <c r="E28" s="70"/>
      <c r="F28" s="70"/>
      <c r="G28" s="70"/>
      <c r="H28" s="70"/>
      <c r="I28" s="876">
        <v>8479.1</v>
      </c>
      <c r="J28" s="70"/>
      <c r="K28" s="54"/>
    </row>
    <row r="29" spans="1:11">
      <c r="A29" s="24"/>
      <c r="B29" s="22"/>
      <c r="C29" s="25"/>
      <c r="D29" s="71"/>
      <c r="E29" s="71"/>
      <c r="F29" s="71"/>
      <c r="G29" s="71"/>
      <c r="H29" s="71"/>
      <c r="I29" s="71"/>
      <c r="J29" s="71"/>
      <c r="K29" s="25"/>
    </row>
    <row r="30" spans="1:11">
      <c r="A30" s="24">
        <v>12</v>
      </c>
      <c r="B30" s="22" t="s">
        <v>1069</v>
      </c>
      <c r="C30" s="25" t="s">
        <v>1070</v>
      </c>
      <c r="D30" s="71"/>
      <c r="E30" s="71"/>
      <c r="F30" s="71"/>
      <c r="G30" s="71"/>
      <c r="H30" s="71"/>
      <c r="I30" s="72">
        <f>+I24/I28</f>
        <v>22997.538378668651</v>
      </c>
      <c r="J30" s="71"/>
      <c r="K30" s="25"/>
    </row>
    <row r="31" spans="1:11">
      <c r="A31" s="24"/>
      <c r="B31" s="22"/>
      <c r="C31" s="25"/>
      <c r="D31" s="73"/>
      <c r="E31" s="71"/>
      <c r="F31" s="71"/>
      <c r="G31" s="71"/>
      <c r="H31" s="71"/>
      <c r="I31" s="71"/>
      <c r="J31" s="71"/>
      <c r="K31" s="25"/>
    </row>
    <row r="32" spans="1:11">
      <c r="A32" s="24"/>
      <c r="B32" s="22"/>
      <c r="C32" s="25"/>
      <c r="D32" s="71"/>
      <c r="E32" s="71"/>
      <c r="F32" s="71"/>
      <c r="G32" s="71"/>
      <c r="H32" s="71"/>
      <c r="I32" s="71"/>
      <c r="J32" s="71"/>
      <c r="K32" s="25"/>
    </row>
    <row r="33" spans="1:11">
      <c r="A33" s="24"/>
      <c r="B33" s="22"/>
      <c r="C33" s="25"/>
      <c r="D33" s="71"/>
      <c r="E33" s="71"/>
      <c r="F33" s="71"/>
      <c r="G33" s="71"/>
      <c r="H33" s="71"/>
      <c r="I33" s="71"/>
      <c r="J33" s="71"/>
      <c r="K33" s="25"/>
    </row>
    <row r="34" spans="1:11">
      <c r="A34" s="24"/>
      <c r="B34" s="22"/>
      <c r="C34" s="25"/>
      <c r="D34" s="71"/>
      <c r="E34" s="71"/>
      <c r="F34" s="71"/>
      <c r="G34" s="71"/>
      <c r="H34" s="71"/>
      <c r="I34" s="71"/>
      <c r="J34" s="71"/>
      <c r="K34" s="25"/>
    </row>
    <row r="35" spans="1:11">
      <c r="A35" s="3"/>
      <c r="B35" s="22"/>
      <c r="C35" s="25"/>
      <c r="D35" s="25"/>
      <c r="E35" s="25"/>
      <c r="F35" s="25"/>
      <c r="G35" s="25"/>
      <c r="H35" s="25"/>
      <c r="I35" s="74"/>
      <c r="J35" s="25"/>
      <c r="K35" s="75" t="s">
        <v>105</v>
      </c>
    </row>
    <row r="36" spans="1:11">
      <c r="A36" s="3"/>
      <c r="B36" s="25"/>
      <c r="C36" s="25"/>
      <c r="D36" s="25"/>
      <c r="E36" s="25"/>
      <c r="F36" s="25"/>
      <c r="G36" s="25"/>
      <c r="H36" s="25"/>
      <c r="I36" s="25"/>
      <c r="J36" s="25"/>
      <c r="K36" s="25"/>
    </row>
    <row r="37" spans="1:11">
      <c r="A37" s="3"/>
      <c r="B37" s="22" t="s">
        <v>1</v>
      </c>
      <c r="C37" s="22"/>
      <c r="D37" s="24" t="s">
        <v>72</v>
      </c>
      <c r="E37" s="22"/>
      <c r="F37" s="22"/>
      <c r="G37" s="22"/>
      <c r="H37" s="22"/>
      <c r="I37" s="18"/>
      <c r="J37" s="22"/>
      <c r="K37" s="75" t="str">
        <f>K3</f>
        <v>For  the 12 months ended 12/31/2022</v>
      </c>
    </row>
    <row r="38" spans="1:11">
      <c r="A38" s="3"/>
      <c r="B38" s="22"/>
      <c r="C38" s="4"/>
      <c r="D38" s="27" t="s">
        <v>98</v>
      </c>
      <c r="E38" s="4"/>
      <c r="F38" s="4"/>
      <c r="G38" s="4"/>
      <c r="H38" s="4"/>
      <c r="I38" s="4"/>
      <c r="J38" s="4"/>
      <c r="K38" s="4"/>
    </row>
    <row r="39" spans="1:11">
      <c r="A39" s="3"/>
      <c r="B39" s="22"/>
      <c r="C39" s="4"/>
      <c r="D39" s="27" t="str">
        <f>+D5</f>
        <v>PECO Energy Company</v>
      </c>
      <c r="E39" s="4"/>
      <c r="F39" s="4"/>
      <c r="G39" s="4" t="s">
        <v>2</v>
      </c>
      <c r="H39" s="4"/>
      <c r="I39" s="4"/>
      <c r="J39" s="4"/>
      <c r="K39" s="4"/>
    </row>
    <row r="40" spans="1:11">
      <c r="A40" s="1102"/>
      <c r="B40" s="1102"/>
      <c r="C40" s="1102"/>
      <c r="D40" s="1102"/>
      <c r="E40" s="1102"/>
      <c r="F40" s="1102"/>
      <c r="G40" s="1102"/>
      <c r="H40" s="1102"/>
      <c r="I40" s="1102"/>
      <c r="J40" s="1102"/>
      <c r="K40" s="1102"/>
    </row>
    <row r="41" spans="1:11">
      <c r="A41" s="3"/>
      <c r="B41" s="24" t="s">
        <v>3</v>
      </c>
      <c r="C41" s="24" t="s">
        <v>4</v>
      </c>
      <c r="D41" s="24" t="s">
        <v>5</v>
      </c>
      <c r="E41" s="4" t="s">
        <v>2</v>
      </c>
      <c r="F41" s="4"/>
      <c r="G41" s="31" t="s">
        <v>6</v>
      </c>
      <c r="H41" s="4"/>
      <c r="I41" s="31" t="s">
        <v>7</v>
      </c>
      <c r="J41" s="4"/>
      <c r="K41" s="24"/>
    </row>
    <row r="42" spans="1:11">
      <c r="A42" s="3"/>
      <c r="B42" s="22"/>
      <c r="C42" s="76"/>
      <c r="D42" s="4"/>
      <c r="E42" s="4"/>
      <c r="F42" s="4"/>
      <c r="G42" s="24"/>
      <c r="H42" s="4"/>
      <c r="I42" s="77" t="s">
        <v>17</v>
      </c>
      <c r="J42" s="4"/>
      <c r="K42" s="24"/>
    </row>
    <row r="43" spans="1:11">
      <c r="A43" s="24" t="s">
        <v>8</v>
      </c>
      <c r="B43" s="22"/>
      <c r="C43" s="78" t="s">
        <v>207</v>
      </c>
      <c r="D43" s="77" t="s">
        <v>19</v>
      </c>
      <c r="E43" s="79"/>
      <c r="F43" s="77" t="s">
        <v>20</v>
      </c>
      <c r="G43" s="3"/>
      <c r="H43" s="79"/>
      <c r="I43" s="24" t="s">
        <v>21</v>
      </c>
      <c r="J43" s="4"/>
      <c r="K43" s="24"/>
    </row>
    <row r="44" spans="1:11" ht="13.5" thickBot="1">
      <c r="A44" s="35" t="s">
        <v>10</v>
      </c>
      <c r="B44" s="80" t="s">
        <v>313</v>
      </c>
      <c r="C44" s="4"/>
      <c r="D44" s="4"/>
      <c r="E44" s="4"/>
      <c r="F44" s="4"/>
      <c r="G44" s="4"/>
      <c r="H44" s="4"/>
      <c r="I44" s="4"/>
      <c r="J44" s="4"/>
      <c r="K44" s="4"/>
    </row>
    <row r="45" spans="1:11">
      <c r="A45" s="24"/>
      <c r="B45" s="22" t="s">
        <v>361</v>
      </c>
      <c r="C45" s="4"/>
      <c r="D45" s="4"/>
      <c r="E45" s="4"/>
      <c r="F45" s="4"/>
      <c r="G45" s="4"/>
      <c r="H45" s="4"/>
      <c r="I45" s="4"/>
      <c r="J45" s="4"/>
      <c r="K45" s="4"/>
    </row>
    <row r="46" spans="1:11">
      <c r="A46" s="24">
        <v>1</v>
      </c>
      <c r="B46" s="22" t="s">
        <v>264</v>
      </c>
      <c r="C46" s="43" t="s">
        <v>427</v>
      </c>
      <c r="D46" s="877">
        <v>0</v>
      </c>
      <c r="E46" s="4"/>
      <c r="F46" s="4" t="s">
        <v>22</v>
      </c>
      <c r="G46" s="81" t="s">
        <v>2</v>
      </c>
      <c r="H46" s="4"/>
      <c r="I46" s="39">
        <v>0</v>
      </c>
      <c r="J46" s="4"/>
      <c r="K46" s="4"/>
    </row>
    <row r="47" spans="1:11">
      <c r="A47" s="24">
        <f>+A46+1</f>
        <v>2</v>
      </c>
      <c r="B47" s="22" t="s">
        <v>23</v>
      </c>
      <c r="C47" s="43" t="s">
        <v>266</v>
      </c>
      <c r="D47" s="39">
        <f>'4- Rate Base'!C24</f>
        <v>1866599451.1883557</v>
      </c>
      <c r="E47" s="4"/>
      <c r="F47" s="4" t="s">
        <v>15</v>
      </c>
      <c r="G47" s="42">
        <f>I189</f>
        <v>1</v>
      </c>
      <c r="H47" s="43"/>
      <c r="I47" s="39">
        <f>+G47*D47</f>
        <v>1866599451.1883557</v>
      </c>
      <c r="J47" s="4"/>
      <c r="K47" s="4"/>
    </row>
    <row r="48" spans="1:11">
      <c r="A48" s="24">
        <f>+A47+1</f>
        <v>3</v>
      </c>
      <c r="B48" s="22" t="s">
        <v>265</v>
      </c>
      <c r="C48" s="43" t="s">
        <v>268</v>
      </c>
      <c r="D48" s="877">
        <v>8049073310.9997559</v>
      </c>
      <c r="E48" s="4"/>
      <c r="F48" s="4" t="s">
        <v>22</v>
      </c>
      <c r="G48" s="42">
        <v>0</v>
      </c>
      <c r="H48" s="43"/>
      <c r="I48" s="39">
        <f>+G48*D48</f>
        <v>0</v>
      </c>
      <c r="J48" s="4"/>
      <c r="K48" s="4"/>
    </row>
    <row r="49" spans="1:11">
      <c r="A49" s="24">
        <f>+A48+1</f>
        <v>4</v>
      </c>
      <c r="B49" s="22" t="s">
        <v>714</v>
      </c>
      <c r="C49" s="43" t="s">
        <v>267</v>
      </c>
      <c r="D49" s="39">
        <f>'4- Rate Base'!D24</f>
        <v>318895695.98846155</v>
      </c>
      <c r="E49" s="4"/>
      <c r="F49" s="4" t="s">
        <v>24</v>
      </c>
      <c r="G49" s="42">
        <f>I197</f>
        <v>9.9526966285675506E-2</v>
      </c>
      <c r="H49" s="43"/>
      <c r="I49" s="39">
        <f>+G49*D49</f>
        <v>31738721.183290638</v>
      </c>
      <c r="J49" s="4"/>
      <c r="K49" s="4"/>
    </row>
    <row r="50" spans="1:11">
      <c r="A50" s="24">
        <f t="shared" ref="A50:A51" si="0">+A49+1</f>
        <v>5</v>
      </c>
      <c r="B50" s="22" t="s">
        <v>715</v>
      </c>
      <c r="C50" s="43" t="s">
        <v>1008</v>
      </c>
      <c r="D50" s="39">
        <f>+'4D - Intangible Pnt'!T27</f>
        <v>242240100.51759377</v>
      </c>
      <c r="E50" s="4"/>
      <c r="F50" s="4" t="s">
        <v>76</v>
      </c>
      <c r="G50" s="42"/>
      <c r="H50" s="43"/>
      <c r="I50" s="53">
        <f>'4D - Intangible Pnt'!T29</f>
        <v>43962460.590832137</v>
      </c>
      <c r="J50" s="4"/>
      <c r="K50" s="4"/>
    </row>
    <row r="51" spans="1:11">
      <c r="A51" s="24">
        <f t="shared" si="0"/>
        <v>6</v>
      </c>
      <c r="B51" s="22" t="s">
        <v>1062</v>
      </c>
      <c r="C51" s="43" t="s">
        <v>1009</v>
      </c>
      <c r="D51" s="53">
        <f>'4- Rate Base'!E24</f>
        <v>826464103.55733538</v>
      </c>
      <c r="E51" s="4"/>
      <c r="F51" s="4" t="str">
        <f>F49</f>
        <v>W/S</v>
      </c>
      <c r="G51" s="42">
        <f>G49</f>
        <v>9.9526966285675506E-2</v>
      </c>
      <c r="H51" s="43"/>
      <c r="I51" s="53">
        <f>+G51*D51</f>
        <v>82255464.971071944</v>
      </c>
      <c r="J51" s="4"/>
      <c r="K51" s="4"/>
    </row>
    <row r="52" spans="1:11" ht="13.5" thickBot="1">
      <c r="A52" s="24">
        <f t="shared" ref="A52:A53" si="1">+A51+1</f>
        <v>7</v>
      </c>
      <c r="B52" s="22" t="s">
        <v>1064</v>
      </c>
      <c r="C52" s="4" t="s">
        <v>1010</v>
      </c>
      <c r="D52" s="46">
        <f>-'4E COA'!H34</f>
        <v>-430071.11278230767</v>
      </c>
      <c r="E52" s="4"/>
      <c r="F52" s="4" t="str">
        <f>F51</f>
        <v>W/S</v>
      </c>
      <c r="G52" s="42">
        <f>G51</f>
        <v>9.9526966285675506E-2</v>
      </c>
      <c r="H52" s="43"/>
      <c r="I52" s="46">
        <f>D52*G52</f>
        <v>-42803.67314232768</v>
      </c>
      <c r="J52" s="4"/>
      <c r="K52" s="4"/>
    </row>
    <row r="53" spans="1:11">
      <c r="A53" s="24">
        <f t="shared" si="1"/>
        <v>8</v>
      </c>
      <c r="B53" s="22" t="s">
        <v>219</v>
      </c>
      <c r="C53" s="4" t="s">
        <v>1011</v>
      </c>
      <c r="D53" s="39">
        <f>SUM(D46:D52)</f>
        <v>11302842591.138721</v>
      </c>
      <c r="E53" s="4"/>
      <c r="F53" s="4" t="s">
        <v>25</v>
      </c>
      <c r="G53" s="82">
        <f>IF(I53&gt;0,I53/D53,0)</f>
        <v>0.17911541083015697</v>
      </c>
      <c r="H53" s="43"/>
      <c r="I53" s="39">
        <f>SUM(I46:I52)</f>
        <v>2024513294.2604082</v>
      </c>
      <c r="J53" s="4"/>
      <c r="K53" s="83"/>
    </row>
    <row r="54" spans="1:11">
      <c r="A54" s="24"/>
      <c r="B54" s="22"/>
      <c r="C54" s="4"/>
      <c r="D54" s="39"/>
      <c r="E54" s="4"/>
      <c r="F54" s="4"/>
      <c r="G54" s="82"/>
      <c r="H54" s="4"/>
      <c r="I54" s="39"/>
      <c r="J54" s="4"/>
      <c r="K54" s="83"/>
    </row>
    <row r="55" spans="1:11">
      <c r="A55" s="24">
        <f>+A53+1</f>
        <v>9</v>
      </c>
      <c r="B55" s="22" t="s">
        <v>362</v>
      </c>
      <c r="C55" s="4"/>
      <c r="D55" s="39"/>
      <c r="E55" s="4"/>
      <c r="F55" s="4"/>
      <c r="G55" s="42"/>
      <c r="H55" s="4"/>
      <c r="I55" s="39"/>
      <c r="J55" s="4"/>
      <c r="K55" s="4"/>
    </row>
    <row r="56" spans="1:11">
      <c r="A56" s="24">
        <f>+A55+1</f>
        <v>10</v>
      </c>
      <c r="B56" s="22" t="s">
        <v>264</v>
      </c>
      <c r="C56" s="4" t="s">
        <v>269</v>
      </c>
      <c r="D56" s="877">
        <v>0</v>
      </c>
      <c r="E56" s="4"/>
      <c r="F56" s="4" t="s">
        <v>22</v>
      </c>
      <c r="G56" s="42" t="s">
        <v>2</v>
      </c>
      <c r="H56" s="4"/>
      <c r="I56" s="39">
        <v>0</v>
      </c>
      <c r="J56" s="4"/>
      <c r="K56" s="4"/>
    </row>
    <row r="57" spans="1:11">
      <c r="A57" s="24">
        <f>+A56+1</f>
        <v>11</v>
      </c>
      <c r="B57" s="22" t="s">
        <v>23</v>
      </c>
      <c r="C57" s="4" t="s">
        <v>1471</v>
      </c>
      <c r="D57" s="39">
        <f>'8 - Depreciation Rates'!G121</f>
        <v>563529764.05666912</v>
      </c>
      <c r="E57" s="4"/>
      <c r="F57" s="4" t="s">
        <v>15</v>
      </c>
      <c r="G57" s="42">
        <f>+G47</f>
        <v>1</v>
      </c>
      <c r="H57" s="43"/>
      <c r="I57" s="39">
        <f>+G57*D57</f>
        <v>563529764.05666912</v>
      </c>
      <c r="J57" s="4"/>
      <c r="K57" s="4"/>
    </row>
    <row r="58" spans="1:11">
      <c r="A58" s="24">
        <f>+A57+1</f>
        <v>12</v>
      </c>
      <c r="B58" s="22" t="s">
        <v>265</v>
      </c>
      <c r="C58" s="4" t="s">
        <v>270</v>
      </c>
      <c r="D58" s="877">
        <v>1922476708.0263579</v>
      </c>
      <c r="E58" s="4"/>
      <c r="F58" s="4" t="s">
        <v>22</v>
      </c>
      <c r="G58" s="42">
        <f>+G48</f>
        <v>0</v>
      </c>
      <c r="H58" s="43"/>
      <c r="I58" s="39">
        <f>+G58*D58</f>
        <v>0</v>
      </c>
      <c r="J58" s="4"/>
      <c r="K58" s="4"/>
    </row>
    <row r="59" spans="1:11">
      <c r="A59" s="24">
        <f>+A58+1</f>
        <v>13</v>
      </c>
      <c r="B59" s="22" t="s">
        <v>714</v>
      </c>
      <c r="C59" s="4" t="s">
        <v>1472</v>
      </c>
      <c r="D59" s="39">
        <f>'8 - Depreciation Rates'!G122</f>
        <v>114619689.36259781</v>
      </c>
      <c r="E59" s="4"/>
      <c r="F59" s="4" t="s">
        <v>24</v>
      </c>
      <c r="G59" s="42">
        <f>+G49</f>
        <v>9.9526966285675506E-2</v>
      </c>
      <c r="H59" s="43"/>
      <c r="I59" s="39">
        <f>+G59*D59</f>
        <v>11407749.958865872</v>
      </c>
      <c r="J59" s="4"/>
      <c r="K59" s="4"/>
    </row>
    <row r="60" spans="1:11">
      <c r="A60" s="24">
        <f t="shared" ref="A60:A61" si="2">+A59+1</f>
        <v>14</v>
      </c>
      <c r="B60" s="22" t="s">
        <v>715</v>
      </c>
      <c r="C60" s="4" t="s">
        <v>1473</v>
      </c>
      <c r="D60" s="39">
        <f>'8 - Depreciation Rates'!G127</f>
        <v>173339786.77808291</v>
      </c>
      <c r="E60" s="4"/>
      <c r="F60" s="4" t="s">
        <v>76</v>
      </c>
      <c r="G60" s="42"/>
      <c r="H60" s="43"/>
      <c r="I60" s="53">
        <f>'8 - Depreciation Rates'!I127</f>
        <v>25020286.844503328</v>
      </c>
      <c r="J60" s="4"/>
      <c r="K60" s="4"/>
    </row>
    <row r="61" spans="1:11">
      <c r="A61" s="24">
        <f t="shared" si="2"/>
        <v>15</v>
      </c>
      <c r="B61" s="22" t="s">
        <v>1062</v>
      </c>
      <c r="C61" s="4" t="s">
        <v>1474</v>
      </c>
      <c r="D61" s="53">
        <f>'8 - Depreciation Rates'!G123</f>
        <v>364438555.16391349</v>
      </c>
      <c r="E61" s="4"/>
      <c r="F61" s="4" t="str">
        <f>F52</f>
        <v>W/S</v>
      </c>
      <c r="G61" s="42">
        <f>+G51</f>
        <v>9.9526966285675506E-2</v>
      </c>
      <c r="H61" s="43"/>
      <c r="I61" s="53">
        <f>+G61*D61</f>
        <v>36271463.792999111</v>
      </c>
      <c r="J61" s="4"/>
      <c r="K61" s="4"/>
    </row>
    <row r="62" spans="1:11" ht="13.5" thickBot="1">
      <c r="A62" s="24">
        <f t="shared" ref="A62:A63" si="3">+A61+1</f>
        <v>16</v>
      </c>
      <c r="B62" s="22" t="s">
        <v>1064</v>
      </c>
      <c r="C62" s="4" t="s">
        <v>1012</v>
      </c>
      <c r="D62" s="46">
        <f>-'4E COA'!H51</f>
        <v>-64515.371987525992</v>
      </c>
      <c r="E62" s="4"/>
      <c r="F62" s="4" t="str">
        <f>F61</f>
        <v>W/S</v>
      </c>
      <c r="G62" s="42">
        <f>G61</f>
        <v>9.9526966285675506E-2</v>
      </c>
      <c r="H62" s="43"/>
      <c r="I62" s="46">
        <f>+G62*D62</f>
        <v>-6421.0192527103136</v>
      </c>
      <c r="J62" s="4"/>
      <c r="K62" s="4"/>
    </row>
    <row r="63" spans="1:11">
      <c r="A63" s="24">
        <f t="shared" si="3"/>
        <v>17</v>
      </c>
      <c r="B63" s="22" t="s">
        <v>220</v>
      </c>
      <c r="C63" s="4" t="s">
        <v>1013</v>
      </c>
      <c r="D63" s="39">
        <f>SUM(D56:D62)</f>
        <v>3138339988.0156336</v>
      </c>
      <c r="E63" s="4"/>
      <c r="F63" s="4"/>
      <c r="G63" s="82"/>
      <c r="H63" s="43"/>
      <c r="I63" s="39">
        <f>SUM(I56:I62)</f>
        <v>636222843.63378477</v>
      </c>
      <c r="J63" s="4"/>
      <c r="K63" s="4"/>
    </row>
    <row r="64" spans="1:11">
      <c r="A64" s="24"/>
      <c r="B64" s="3"/>
      <c r="C64" s="4" t="s">
        <v>2</v>
      </c>
      <c r="D64" s="39"/>
      <c r="E64" s="4"/>
      <c r="F64" s="4"/>
      <c r="G64" s="82"/>
      <c r="H64" s="4"/>
      <c r="I64" s="39"/>
      <c r="J64" s="4"/>
      <c r="K64" s="83"/>
    </row>
    <row r="65" spans="1:11">
      <c r="A65" s="24">
        <f>+A63+1</f>
        <v>18</v>
      </c>
      <c r="B65" s="22" t="s">
        <v>26</v>
      </c>
      <c r="C65" s="4"/>
      <c r="D65" s="39"/>
      <c r="E65" s="4"/>
      <c r="F65" s="4"/>
      <c r="G65" s="42"/>
      <c r="H65" s="4"/>
      <c r="I65" s="39"/>
      <c r="J65" s="4"/>
      <c r="K65" s="4"/>
    </row>
    <row r="66" spans="1:11">
      <c r="A66" s="24">
        <f>+A65+1</f>
        <v>19</v>
      </c>
      <c r="B66" s="22" t="s">
        <v>264</v>
      </c>
      <c r="C66" s="4" t="str">
        <f>"(line "&amp;A46&amp;" minus line "&amp;A56&amp;")"</f>
        <v>(line 1 minus line 10)</v>
      </c>
      <c r="D66" s="39">
        <f t="shared" ref="D66:D72" si="4">D46-D56</f>
        <v>0</v>
      </c>
      <c r="E66" s="43"/>
      <c r="F66" s="43"/>
      <c r="G66" s="82"/>
      <c r="H66" s="43"/>
      <c r="I66" s="39">
        <f t="shared" ref="I66:I72" si="5">I46-I56</f>
        <v>0</v>
      </c>
      <c r="J66" s="4"/>
      <c r="K66" s="83"/>
    </row>
    <row r="67" spans="1:11">
      <c r="A67" s="24">
        <f>+A66+1</f>
        <v>20</v>
      </c>
      <c r="B67" s="22" t="s">
        <v>23</v>
      </c>
      <c r="C67" s="4" t="str">
        <f t="shared" ref="C67:C72" si="6">"(line "&amp;A47&amp;" minus line "&amp;A57&amp;")"</f>
        <v>(line 2 minus line 11)</v>
      </c>
      <c r="D67" s="39">
        <f t="shared" si="4"/>
        <v>1303069687.1316867</v>
      </c>
      <c r="E67" s="43"/>
      <c r="F67" s="43"/>
      <c r="G67" s="42"/>
      <c r="H67" s="43"/>
      <c r="I67" s="39">
        <f t="shared" si="5"/>
        <v>1303069687.1316867</v>
      </c>
      <c r="J67" s="4"/>
      <c r="K67" s="83"/>
    </row>
    <row r="68" spans="1:11">
      <c r="A68" s="24">
        <f>+A67+1</f>
        <v>21</v>
      </c>
      <c r="B68" s="22" t="s">
        <v>265</v>
      </c>
      <c r="C68" s="4" t="str">
        <f t="shared" si="6"/>
        <v>(line 3 minus line 12)</v>
      </c>
      <c r="D68" s="39">
        <f t="shared" si="4"/>
        <v>6126596602.9733982</v>
      </c>
      <c r="E68" s="43"/>
      <c r="F68" s="43"/>
      <c r="G68" s="82"/>
      <c r="H68" s="43"/>
      <c r="I68" s="39">
        <f t="shared" si="5"/>
        <v>0</v>
      </c>
      <c r="J68" s="4"/>
      <c r="K68" s="83"/>
    </row>
    <row r="69" spans="1:11">
      <c r="A69" s="24">
        <f>+A68+1</f>
        <v>22</v>
      </c>
      <c r="B69" s="22" t="s">
        <v>714</v>
      </c>
      <c r="C69" s="4" t="str">
        <f t="shared" si="6"/>
        <v>(line 4 minus line 13)</v>
      </c>
      <c r="D69" s="39">
        <f t="shared" si="4"/>
        <v>204276006.62586373</v>
      </c>
      <c r="E69" s="43"/>
      <c r="F69" s="43"/>
      <c r="G69" s="82"/>
      <c r="H69" s="43"/>
      <c r="I69" s="39">
        <f t="shared" si="5"/>
        <v>20330971.224424765</v>
      </c>
      <c r="J69" s="4"/>
      <c r="K69" s="83"/>
    </row>
    <row r="70" spans="1:11">
      <c r="A70" s="24">
        <f t="shared" ref="A70:A71" si="7">+A69+1</f>
        <v>23</v>
      </c>
      <c r="B70" s="22" t="s">
        <v>715</v>
      </c>
      <c r="C70" s="4" t="str">
        <f t="shared" si="6"/>
        <v>(line 5 minus line 14)</v>
      </c>
      <c r="D70" s="39">
        <f t="shared" si="4"/>
        <v>68900313.739510864</v>
      </c>
      <c r="E70" s="43"/>
      <c r="F70" s="43"/>
      <c r="G70" s="82"/>
      <c r="H70" s="43"/>
      <c r="I70" s="39">
        <f t="shared" si="5"/>
        <v>18942173.746328808</v>
      </c>
      <c r="J70" s="4"/>
      <c r="K70" s="83"/>
    </row>
    <row r="71" spans="1:11">
      <c r="A71" s="24">
        <f t="shared" si="7"/>
        <v>24</v>
      </c>
      <c r="B71" s="22" t="s">
        <v>1062</v>
      </c>
      <c r="C71" s="4" t="str">
        <f t="shared" si="6"/>
        <v>(line 6 minus line 15)</v>
      </c>
      <c r="D71" s="53">
        <f t="shared" si="4"/>
        <v>462025548.39342189</v>
      </c>
      <c r="E71" s="4"/>
      <c r="F71" s="43"/>
      <c r="G71" s="82"/>
      <c r="H71" s="43"/>
      <c r="I71" s="53">
        <f t="shared" si="5"/>
        <v>45984001.178072833</v>
      </c>
      <c r="J71" s="4"/>
      <c r="K71" s="83"/>
    </row>
    <row r="72" spans="1:11" ht="13.5" thickBot="1">
      <c r="A72" s="24">
        <f t="shared" ref="A72:A73" si="8">+A71+1</f>
        <v>25</v>
      </c>
      <c r="B72" s="22" t="s">
        <v>1064</v>
      </c>
      <c r="C72" s="4" t="str">
        <f t="shared" si="6"/>
        <v>(line 7 minus line 16)</v>
      </c>
      <c r="D72" s="46">
        <f t="shared" si="4"/>
        <v>-365555.74079478165</v>
      </c>
      <c r="E72" s="4"/>
      <c r="F72" s="43"/>
      <c r="G72" s="82"/>
      <c r="H72" s="43"/>
      <c r="I72" s="46">
        <f t="shared" si="5"/>
        <v>-36382.653889617366</v>
      </c>
      <c r="J72" s="4"/>
      <c r="K72" s="83"/>
    </row>
    <row r="73" spans="1:11">
      <c r="A73" s="24">
        <f t="shared" si="8"/>
        <v>26</v>
      </c>
      <c r="B73" s="22" t="s">
        <v>222</v>
      </c>
      <c r="C73" s="4" t="s">
        <v>1014</v>
      </c>
      <c r="D73" s="39">
        <f>SUM(D66:D72)</f>
        <v>8164502603.1230869</v>
      </c>
      <c r="E73" s="4"/>
      <c r="F73" s="4" t="s">
        <v>27</v>
      </c>
      <c r="G73" s="82">
        <f>IF(I73&gt;0,I73/D73,0)</f>
        <v>0.17003980745815117</v>
      </c>
      <c r="H73" s="43"/>
      <c r="I73" s="39">
        <f>SUM(I66:I72)</f>
        <v>1388290450.6266236</v>
      </c>
      <c r="J73" s="4"/>
      <c r="K73" s="4"/>
    </row>
    <row r="74" spans="1:11">
      <c r="A74" s="24"/>
      <c r="B74" s="3"/>
      <c r="C74" s="4"/>
      <c r="D74" s="39"/>
      <c r="E74" s="4"/>
      <c r="F74" s="3"/>
      <c r="G74" s="42"/>
      <c r="H74" s="4"/>
      <c r="I74" s="39"/>
      <c r="J74" s="4"/>
      <c r="K74" s="83"/>
    </row>
    <row r="75" spans="1:11">
      <c r="A75" s="24">
        <f>+A73+1</f>
        <v>27</v>
      </c>
      <c r="B75" s="22" t="s">
        <v>363</v>
      </c>
      <c r="C75" s="4"/>
      <c r="D75" s="39"/>
      <c r="E75" s="4"/>
      <c r="F75" s="4"/>
      <c r="G75" s="42"/>
      <c r="H75" s="4"/>
      <c r="I75" s="39"/>
      <c r="J75" s="4"/>
      <c r="K75" s="4"/>
    </row>
    <row r="76" spans="1:11">
      <c r="A76" s="24">
        <f>+A75+1</f>
        <v>28</v>
      </c>
      <c r="B76" s="22" t="s">
        <v>87</v>
      </c>
      <c r="C76" s="4" t="s">
        <v>1015</v>
      </c>
      <c r="D76" s="39" t="str">
        <f>+'4- Rate Base'!E44</f>
        <v>Zero</v>
      </c>
      <c r="E76" s="4"/>
      <c r="F76" s="4" t="s">
        <v>22</v>
      </c>
      <c r="G76" s="84" t="s">
        <v>106</v>
      </c>
      <c r="H76" s="43"/>
      <c r="I76" s="39">
        <v>0</v>
      </c>
      <c r="J76" s="4"/>
      <c r="K76" s="83"/>
    </row>
    <row r="77" spans="1:11">
      <c r="A77" s="24">
        <f>+A76+1</f>
        <v>29</v>
      </c>
      <c r="B77" s="22" t="s">
        <v>88</v>
      </c>
      <c r="C77" s="4" t="s">
        <v>1077</v>
      </c>
      <c r="D77" s="53">
        <f>'4- Rate Base'!F44</f>
        <v>-219350868.24589843</v>
      </c>
      <c r="E77" s="4"/>
      <c r="F77" s="4" t="s">
        <v>15</v>
      </c>
      <c r="G77" s="42">
        <f>G84</f>
        <v>1</v>
      </c>
      <c r="H77" s="43"/>
      <c r="I77" s="39">
        <f>D77*G77</f>
        <v>-219350868.24589843</v>
      </c>
      <c r="J77" s="4"/>
      <c r="K77" s="83"/>
    </row>
    <row r="78" spans="1:11">
      <c r="A78" s="24">
        <f>+A77+1</f>
        <v>30</v>
      </c>
      <c r="B78" s="22" t="s">
        <v>89</v>
      </c>
      <c r="C78" s="4" t="s">
        <v>1078</v>
      </c>
      <c r="D78" s="53">
        <f>'4- Rate Base'!G44</f>
        <v>-10858700.546789054</v>
      </c>
      <c r="E78" s="4"/>
      <c r="F78" s="4" t="s">
        <v>15</v>
      </c>
      <c r="G78" s="42">
        <f>+G77</f>
        <v>1</v>
      </c>
      <c r="H78" s="43"/>
      <c r="I78" s="39">
        <f>D78*G78</f>
        <v>-10858700.546789054</v>
      </c>
      <c r="J78" s="4"/>
      <c r="K78" s="83"/>
    </row>
    <row r="79" spans="1:11">
      <c r="A79" s="24">
        <f>+A78+1</f>
        <v>31</v>
      </c>
      <c r="B79" s="22" t="s">
        <v>94</v>
      </c>
      <c r="C79" s="4" t="s">
        <v>1079</v>
      </c>
      <c r="D79" s="53">
        <f>'4- Rate Base'!H44</f>
        <v>9517133.7721804883</v>
      </c>
      <c r="E79" s="4"/>
      <c r="F79" s="4" t="s">
        <v>15</v>
      </c>
      <c r="G79" s="42">
        <f>+G78</f>
        <v>1</v>
      </c>
      <c r="H79" s="43"/>
      <c r="I79" s="39">
        <f>D79*G79</f>
        <v>9517133.7721804883</v>
      </c>
      <c r="J79" s="4"/>
      <c r="K79" s="83"/>
    </row>
    <row r="80" spans="1:11">
      <c r="A80" s="24" t="s">
        <v>1331</v>
      </c>
      <c r="B80" s="22" t="s">
        <v>1334</v>
      </c>
      <c r="C80" s="4" t="s">
        <v>1335</v>
      </c>
      <c r="D80" s="53">
        <f>-'9 - EDIT'!P40</f>
        <v>-76917524.367915019</v>
      </c>
      <c r="E80" s="4"/>
      <c r="F80" s="4" t="s">
        <v>15</v>
      </c>
      <c r="G80" s="42">
        <f t="shared" ref="G80:G82" si="9">+G79</f>
        <v>1</v>
      </c>
      <c r="H80" s="43"/>
      <c r="I80" s="39">
        <f>D80*G80</f>
        <v>-76917524.367915019</v>
      </c>
      <c r="J80" s="4"/>
      <c r="K80" s="83"/>
    </row>
    <row r="81" spans="1:11">
      <c r="A81" s="24" t="s">
        <v>1332</v>
      </c>
      <c r="B81" s="22" t="s">
        <v>1336</v>
      </c>
      <c r="C81" s="4" t="s">
        <v>1338</v>
      </c>
      <c r="D81" s="53">
        <f>-'9 - EDIT'!P42</f>
        <v>-8481414.8749999925</v>
      </c>
      <c r="E81" s="4"/>
      <c r="F81" s="4" t="s">
        <v>15</v>
      </c>
      <c r="G81" s="42">
        <f t="shared" si="9"/>
        <v>1</v>
      </c>
      <c r="H81" s="43"/>
      <c r="I81" s="39">
        <f>D81*G81</f>
        <v>-8481414.8749999925</v>
      </c>
      <c r="J81" s="4"/>
      <c r="K81" s="83"/>
    </row>
    <row r="82" spans="1:11">
      <c r="A82" s="24" t="s">
        <v>1333</v>
      </c>
      <c r="B82" s="22" t="s">
        <v>1337</v>
      </c>
      <c r="C82" s="4" t="s">
        <v>1339</v>
      </c>
      <c r="D82" s="53">
        <f>-'9 - EDIT'!P46</f>
        <v>77994</v>
      </c>
      <c r="E82" s="4"/>
      <c r="F82" s="4" t="s">
        <v>15</v>
      </c>
      <c r="G82" s="42">
        <f t="shared" si="9"/>
        <v>1</v>
      </c>
      <c r="H82" s="43"/>
      <c r="I82" s="39">
        <f t="shared" ref="I82" si="10">D82*G82</f>
        <v>77994</v>
      </c>
      <c r="J82" s="4"/>
      <c r="K82" s="83"/>
    </row>
    <row r="83" spans="1:11">
      <c r="A83" s="24">
        <f>+A79+1</f>
        <v>32</v>
      </c>
      <c r="B83" s="3" t="s">
        <v>90</v>
      </c>
      <c r="C83" s="4" t="s">
        <v>366</v>
      </c>
      <c r="D83" s="53">
        <f>'4- Rate Base'!I44</f>
        <v>0</v>
      </c>
      <c r="E83" s="4"/>
      <c r="F83" s="4" t="s">
        <v>15</v>
      </c>
      <c r="G83" s="42">
        <f>+G78</f>
        <v>1</v>
      </c>
      <c r="H83" s="43"/>
      <c r="I83" s="53">
        <f>D83*G83</f>
        <v>0</v>
      </c>
      <c r="J83" s="4"/>
      <c r="K83" s="83"/>
    </row>
    <row r="84" spans="1:11">
      <c r="A84" s="24">
        <f t="shared" ref="A84:A91" si="11">+A83+1</f>
        <v>33</v>
      </c>
      <c r="B84" s="3" t="s">
        <v>360</v>
      </c>
      <c r="C84" s="3" t="s">
        <v>438</v>
      </c>
      <c r="D84" s="53">
        <f>'4- Rate Base'!I71</f>
        <v>-6749121.4639825299</v>
      </c>
      <c r="E84" s="4"/>
      <c r="F84" s="4" t="s">
        <v>76</v>
      </c>
      <c r="G84" s="42">
        <f>G85</f>
        <v>1</v>
      </c>
      <c r="H84" s="43"/>
      <c r="I84" s="53">
        <f t="shared" ref="I84:I90" si="12">+G84*D84</f>
        <v>-6749121.4639825299</v>
      </c>
      <c r="J84" s="4"/>
      <c r="K84" s="83"/>
    </row>
    <row r="85" spans="1:11">
      <c r="A85" s="24">
        <f t="shared" si="11"/>
        <v>34</v>
      </c>
      <c r="B85" s="85" t="s">
        <v>86</v>
      </c>
      <c r="C85" s="86" t="s">
        <v>709</v>
      </c>
      <c r="D85" s="53">
        <f>'4- Rate Base'!F24</f>
        <v>0</v>
      </c>
      <c r="E85" s="65"/>
      <c r="F85" s="65" t="str">
        <f>+F87</f>
        <v>DA</v>
      </c>
      <c r="G85" s="87">
        <v>1</v>
      </c>
      <c r="H85" s="65"/>
      <c r="I85" s="53">
        <f t="shared" si="12"/>
        <v>0</v>
      </c>
      <c r="K85" s="83"/>
    </row>
    <row r="86" spans="1:11">
      <c r="A86" s="24">
        <f t="shared" si="11"/>
        <v>35</v>
      </c>
      <c r="B86" s="85" t="s">
        <v>791</v>
      </c>
      <c r="C86" s="86" t="s">
        <v>1016</v>
      </c>
      <c r="D86" s="53">
        <f>+'4- Rate Base'!J44</f>
        <v>30324231.779104345</v>
      </c>
      <c r="E86" s="65"/>
      <c r="F86" s="65" t="str">
        <f>+F88</f>
        <v>DA</v>
      </c>
      <c r="G86" s="87">
        <v>1</v>
      </c>
      <c r="H86" s="65"/>
      <c r="I86" s="53">
        <f t="shared" si="12"/>
        <v>30324231.779104345</v>
      </c>
      <c r="K86" s="83"/>
    </row>
    <row r="87" spans="1:11">
      <c r="A87" s="24">
        <f t="shared" si="11"/>
        <v>36</v>
      </c>
      <c r="B87" s="63" t="s">
        <v>100</v>
      </c>
      <c r="C87" s="86" t="s">
        <v>1017</v>
      </c>
      <c r="D87" s="53">
        <f>+'4- Rate Base'!C44</f>
        <v>0</v>
      </c>
      <c r="E87" s="65"/>
      <c r="F87" s="65" t="str">
        <f>+F88</f>
        <v>DA</v>
      </c>
      <c r="G87" s="87">
        <v>1</v>
      </c>
      <c r="H87" s="65"/>
      <c r="I87" s="53">
        <f t="shared" si="12"/>
        <v>0</v>
      </c>
      <c r="K87" s="83"/>
    </row>
    <row r="88" spans="1:11">
      <c r="A88" s="24">
        <f t="shared" si="11"/>
        <v>37</v>
      </c>
      <c r="B88" s="63" t="s">
        <v>101</v>
      </c>
      <c r="C88" s="86" t="s">
        <v>1018</v>
      </c>
      <c r="D88" s="53">
        <f>+'4- Rate Base'!D44</f>
        <v>0</v>
      </c>
      <c r="E88" s="65"/>
      <c r="F88" s="65" t="s">
        <v>76</v>
      </c>
      <c r="G88" s="87">
        <v>1</v>
      </c>
      <c r="H88" s="65"/>
      <c r="I88" s="53">
        <f t="shared" si="12"/>
        <v>0</v>
      </c>
      <c r="K88" s="83"/>
    </row>
    <row r="89" spans="1:11">
      <c r="A89" s="24">
        <f t="shared" si="11"/>
        <v>38</v>
      </c>
      <c r="B89" s="88" t="s">
        <v>656</v>
      </c>
      <c r="C89" s="88" t="s">
        <v>655</v>
      </c>
      <c r="D89" s="878">
        <v>0</v>
      </c>
      <c r="E89" s="65"/>
      <c r="F89" s="65" t="str">
        <f>+F90</f>
        <v>DA</v>
      </c>
      <c r="G89" s="87">
        <v>1</v>
      </c>
      <c r="H89" s="65"/>
      <c r="I89" s="53">
        <f t="shared" si="12"/>
        <v>0</v>
      </c>
      <c r="K89" s="83"/>
    </row>
    <row r="90" spans="1:11" ht="13.5" thickBot="1">
      <c r="A90" s="24">
        <f t="shared" si="11"/>
        <v>39</v>
      </c>
      <c r="B90" s="89" t="s">
        <v>658</v>
      </c>
      <c r="C90" s="88" t="s">
        <v>655</v>
      </c>
      <c r="D90" s="879">
        <v>0</v>
      </c>
      <c r="E90" s="65"/>
      <c r="F90" s="65" t="s">
        <v>76</v>
      </c>
      <c r="G90" s="87">
        <v>1</v>
      </c>
      <c r="H90" s="65"/>
      <c r="I90" s="46">
        <f t="shared" si="12"/>
        <v>0</v>
      </c>
      <c r="K90" s="83"/>
    </row>
    <row r="91" spans="1:11">
      <c r="A91" s="24">
        <f t="shared" si="11"/>
        <v>40</v>
      </c>
      <c r="B91" s="22" t="s">
        <v>221</v>
      </c>
      <c r="C91" s="4" t="s">
        <v>1019</v>
      </c>
      <c r="D91" s="39">
        <f>SUM(D76:D90)</f>
        <v>-282438269.94830018</v>
      </c>
      <c r="E91" s="4"/>
      <c r="F91" s="4"/>
      <c r="G91" s="42"/>
      <c r="H91" s="43"/>
      <c r="I91" s="39">
        <f>SUM(I76:I90)</f>
        <v>-282438269.94830018</v>
      </c>
      <c r="J91" s="4"/>
      <c r="K91" s="4"/>
    </row>
    <row r="92" spans="1:11">
      <c r="A92" s="24"/>
      <c r="B92" s="3"/>
      <c r="C92" s="4"/>
      <c r="D92" s="39"/>
      <c r="E92" s="4"/>
      <c r="F92" s="4"/>
      <c r="G92" s="82"/>
      <c r="H92" s="4"/>
      <c r="I92" s="39"/>
      <c r="J92" s="4"/>
      <c r="K92" s="83"/>
    </row>
    <row r="93" spans="1:11">
      <c r="A93" s="24">
        <f>+A91+1</f>
        <v>41</v>
      </c>
      <c r="B93" s="22" t="s">
        <v>367</v>
      </c>
      <c r="C93" s="90" t="s">
        <v>282</v>
      </c>
      <c r="D93" s="39">
        <f>+'4- Rate Base'!G24</f>
        <v>14273872.743538462</v>
      </c>
      <c r="E93" s="4"/>
      <c r="F93" s="4" t="s">
        <v>15</v>
      </c>
      <c r="G93" s="42">
        <f>+G57</f>
        <v>1</v>
      </c>
      <c r="H93" s="43"/>
      <c r="I93" s="39">
        <f>+G93*D93</f>
        <v>14273872.743538462</v>
      </c>
      <c r="J93" s="4"/>
      <c r="K93" s="4"/>
    </row>
    <row r="94" spans="1:11">
      <c r="A94" s="24"/>
      <c r="B94" s="22"/>
      <c r="C94" s="4"/>
      <c r="D94" s="39"/>
      <c r="E94" s="4"/>
      <c r="F94" s="4"/>
      <c r="G94" s="42"/>
      <c r="H94" s="43"/>
      <c r="I94" s="39"/>
      <c r="J94" s="4"/>
      <c r="K94" s="4"/>
    </row>
    <row r="95" spans="1:11">
      <c r="A95" s="24">
        <f>+A93+1</f>
        <v>42</v>
      </c>
      <c r="B95" s="22" t="s">
        <v>224</v>
      </c>
      <c r="C95" s="4" t="s">
        <v>104</v>
      </c>
      <c r="D95" s="39"/>
      <c r="E95" s="4"/>
      <c r="F95" s="4"/>
      <c r="G95" s="42"/>
      <c r="H95" s="43"/>
      <c r="I95" s="39"/>
      <c r="J95" s="4"/>
      <c r="K95" s="4"/>
    </row>
    <row r="96" spans="1:11">
      <c r="A96" s="24">
        <f>+A95+1</f>
        <v>43</v>
      </c>
      <c r="B96" s="22" t="s">
        <v>107</v>
      </c>
      <c r="C96" s="3" t="s">
        <v>1020</v>
      </c>
      <c r="D96" s="39">
        <f>(D125-D120)/8</f>
        <v>28245711.501573645</v>
      </c>
      <c r="E96" s="4"/>
      <c r="F96" s="4"/>
      <c r="G96" s="42"/>
      <c r="H96" s="43"/>
      <c r="I96" s="39">
        <f>(I125-I120)/8</f>
        <v>9465465.6245906223</v>
      </c>
      <c r="J96" s="25"/>
      <c r="K96" s="83"/>
    </row>
    <row r="97" spans="1:11">
      <c r="A97" s="24">
        <f>+A96+1</f>
        <v>44</v>
      </c>
      <c r="B97" s="22" t="s">
        <v>169</v>
      </c>
      <c r="C97" s="90" t="s">
        <v>774</v>
      </c>
      <c r="D97" s="39">
        <f>+'4- Rate Base'!H24</f>
        <v>13119048.098138442</v>
      </c>
      <c r="E97" s="4"/>
      <c r="F97" s="4" t="s">
        <v>15</v>
      </c>
      <c r="G97" s="42">
        <f>+G114</f>
        <v>1</v>
      </c>
      <c r="H97" s="43"/>
      <c r="I97" s="39">
        <f>+G97*D97</f>
        <v>13119048.098138442</v>
      </c>
      <c r="J97" s="4" t="s">
        <v>2</v>
      </c>
      <c r="K97" s="83"/>
    </row>
    <row r="98" spans="1:11" ht="13.5" thickBot="1">
      <c r="A98" s="24">
        <f>+A97+1</f>
        <v>45</v>
      </c>
      <c r="B98" s="22" t="s">
        <v>91</v>
      </c>
      <c r="C98" s="43" t="s">
        <v>271</v>
      </c>
      <c r="D98" s="46">
        <f>+'4- Rate Base'!I24</f>
        <v>1323607.4537409707</v>
      </c>
      <c r="E98" s="4"/>
      <c r="F98" s="4" t="s">
        <v>76</v>
      </c>
      <c r="G98" s="42">
        <v>1</v>
      </c>
      <c r="H98" s="43"/>
      <c r="I98" s="46">
        <f>+G98*D98</f>
        <v>1323607.4537409707</v>
      </c>
      <c r="J98" s="4"/>
      <c r="K98" s="83"/>
    </row>
    <row r="99" spans="1:11">
      <c r="A99" s="24">
        <f>+A98+1</f>
        <v>46</v>
      </c>
      <c r="B99" s="22" t="s">
        <v>223</v>
      </c>
      <c r="C99" s="25" t="s">
        <v>758</v>
      </c>
      <c r="D99" s="39">
        <f>SUM(D96:D98)</f>
        <v>42688367.053453058</v>
      </c>
      <c r="E99" s="25"/>
      <c r="F99" s="25"/>
      <c r="G99" s="91"/>
      <c r="H99" s="91"/>
      <c r="I99" s="39">
        <f>SUM(I96:I98)</f>
        <v>23908121.176470034</v>
      </c>
      <c r="J99" s="25"/>
      <c r="K99" s="25"/>
    </row>
    <row r="100" spans="1:11" ht="13.5" thickBot="1">
      <c r="A100" s="24"/>
      <c r="B100" s="3"/>
      <c r="C100" s="4"/>
      <c r="D100" s="46"/>
      <c r="E100" s="4"/>
      <c r="F100" s="4"/>
      <c r="G100" s="4"/>
      <c r="H100" s="4"/>
      <c r="I100" s="46"/>
      <c r="J100" s="4"/>
      <c r="K100" s="4"/>
    </row>
    <row r="101" spans="1:11" ht="13.5" thickBot="1">
      <c r="A101" s="24">
        <f>+A99+1</f>
        <v>47</v>
      </c>
      <c r="B101" s="22" t="s">
        <v>225</v>
      </c>
      <c r="C101" s="4" t="s">
        <v>759</v>
      </c>
      <c r="D101" s="92">
        <f>+D99+D93+D91+D73</f>
        <v>7939026572.9717779</v>
      </c>
      <c r="E101" s="43"/>
      <c r="F101" s="43"/>
      <c r="G101" s="93"/>
      <c r="H101" s="43"/>
      <c r="I101" s="92">
        <f>+I99+I93+I91+I73</f>
        <v>1144034174.5983319</v>
      </c>
      <c r="J101" s="4"/>
      <c r="K101" s="83"/>
    </row>
    <row r="102" spans="1:11" ht="16" thickTop="1">
      <c r="A102" s="24"/>
      <c r="B102" s="94"/>
      <c r="C102" s="95"/>
      <c r="D102" s="96"/>
      <c r="E102" s="95"/>
      <c r="F102" s="97"/>
      <c r="G102" s="98"/>
      <c r="H102" s="99"/>
      <c r="I102" s="100"/>
      <c r="J102" s="4"/>
      <c r="K102" s="83"/>
    </row>
    <row r="103" spans="1:11" ht="15.5" hidden="1">
      <c r="A103" s="24"/>
      <c r="B103" s="95"/>
      <c r="D103" s="95"/>
      <c r="E103" s="101"/>
      <c r="G103" s="95"/>
      <c r="I103" s="100"/>
      <c r="J103" s="4"/>
      <c r="K103" s="83"/>
    </row>
    <row r="104" spans="1:11" ht="15.5">
      <c r="A104" s="24"/>
      <c r="B104" s="95"/>
      <c r="D104" s="98"/>
      <c r="E104" s="101"/>
      <c r="F104" s="62"/>
      <c r="G104" s="98"/>
      <c r="I104" s="4"/>
      <c r="J104" s="4"/>
      <c r="K104" s="102" t="s">
        <v>108</v>
      </c>
    </row>
    <row r="105" spans="1:11" ht="15.5">
      <c r="A105" s="24"/>
      <c r="B105" s="95"/>
      <c r="C105" s="95"/>
      <c r="D105" s="95"/>
      <c r="E105" s="103"/>
      <c r="F105" s="97"/>
      <c r="G105" s="95"/>
      <c r="H105" s="95"/>
      <c r="I105" s="4"/>
      <c r="J105" s="4"/>
      <c r="K105" s="102"/>
    </row>
    <row r="106" spans="1:11">
      <c r="A106" s="24"/>
      <c r="B106" s="22" t="s">
        <v>1</v>
      </c>
      <c r="C106" s="4"/>
      <c r="D106" s="27" t="s">
        <v>72</v>
      </c>
      <c r="E106" s="4"/>
      <c r="F106" s="4"/>
      <c r="G106" s="4"/>
      <c r="H106" s="4"/>
      <c r="I106" s="18"/>
      <c r="J106" s="4"/>
      <c r="K106" s="102" t="str">
        <f>K3</f>
        <v>For  the 12 months ended 12/31/2022</v>
      </c>
    </row>
    <row r="107" spans="1:11">
      <c r="A107" s="24"/>
      <c r="B107" s="22"/>
      <c r="C107" s="4"/>
      <c r="D107" s="27" t="s">
        <v>98</v>
      </c>
      <c r="E107" s="4"/>
      <c r="F107" s="4"/>
      <c r="G107" s="4"/>
      <c r="H107" s="4"/>
      <c r="I107" s="4"/>
      <c r="J107" s="4"/>
      <c r="K107" s="4"/>
    </row>
    <row r="108" spans="1:11">
      <c r="A108" s="24"/>
      <c r="B108" s="3"/>
      <c r="C108" s="4"/>
      <c r="D108" s="27" t="str">
        <f>+D39</f>
        <v>PECO Energy Company</v>
      </c>
      <c r="E108" s="4"/>
      <c r="F108" s="4"/>
      <c r="G108" s="4"/>
      <c r="H108" s="4"/>
      <c r="I108" s="4"/>
      <c r="J108" s="4"/>
      <c r="K108" s="4"/>
    </row>
    <row r="109" spans="1:11">
      <c r="A109" s="1103"/>
      <c r="B109" s="1103"/>
      <c r="C109" s="1103"/>
      <c r="D109" s="1103"/>
      <c r="E109" s="1103"/>
      <c r="F109" s="1103"/>
      <c r="G109" s="1103"/>
      <c r="H109" s="1103"/>
      <c r="I109" s="1103"/>
      <c r="J109" s="1103"/>
      <c r="K109" s="1103"/>
    </row>
    <row r="110" spans="1:11">
      <c r="A110" s="24"/>
      <c r="B110" s="24" t="s">
        <v>3</v>
      </c>
      <c r="C110" s="24" t="s">
        <v>4</v>
      </c>
      <c r="D110" s="24" t="s">
        <v>5</v>
      </c>
      <c r="E110" s="4" t="s">
        <v>2</v>
      </c>
      <c r="F110" s="4"/>
      <c r="G110" s="31" t="s">
        <v>6</v>
      </c>
      <c r="H110" s="4"/>
      <c r="I110" s="31" t="s">
        <v>7</v>
      </c>
      <c r="J110" s="4"/>
      <c r="K110" s="4"/>
    </row>
    <row r="111" spans="1:11">
      <c r="A111" s="24" t="s">
        <v>8</v>
      </c>
      <c r="B111" s="22"/>
      <c r="C111" s="76"/>
      <c r="D111" s="4"/>
      <c r="E111" s="4"/>
      <c r="F111" s="4"/>
      <c r="G111" s="24"/>
      <c r="H111" s="4"/>
      <c r="I111" s="77" t="s">
        <v>17</v>
      </c>
      <c r="J111" s="4"/>
      <c r="K111" s="77"/>
    </row>
    <row r="112" spans="1:11" ht="13.5" thickBot="1">
      <c r="A112" s="35" t="s">
        <v>10</v>
      </c>
      <c r="B112" s="22"/>
      <c r="C112" s="78" t="s">
        <v>207</v>
      </c>
      <c r="D112" s="77" t="s">
        <v>19</v>
      </c>
      <c r="E112" s="79"/>
      <c r="F112" s="77" t="s">
        <v>20</v>
      </c>
      <c r="G112" s="3"/>
      <c r="H112" s="79"/>
      <c r="I112" s="24" t="s">
        <v>21</v>
      </c>
      <c r="J112" s="4"/>
      <c r="K112" s="77"/>
    </row>
    <row r="113" spans="1:11">
      <c r="A113" s="24"/>
      <c r="B113" s="22" t="s">
        <v>0</v>
      </c>
      <c r="C113" s="4"/>
      <c r="D113" s="4"/>
      <c r="E113" s="4"/>
      <c r="F113" s="4"/>
      <c r="G113" s="4"/>
      <c r="H113" s="4"/>
      <c r="I113" s="4"/>
      <c r="J113" s="4"/>
      <c r="K113" s="4"/>
    </row>
    <row r="114" spans="1:11">
      <c r="A114" s="24">
        <v>1</v>
      </c>
      <c r="B114" s="22" t="s">
        <v>29</v>
      </c>
      <c r="C114" s="4" t="s">
        <v>1021</v>
      </c>
      <c r="D114" s="39">
        <f>'5-P3 Support'!C12</f>
        <v>209296936</v>
      </c>
      <c r="E114" s="4"/>
      <c r="F114" s="4" t="s">
        <v>15</v>
      </c>
      <c r="G114" s="42">
        <f>+I189</f>
        <v>1</v>
      </c>
      <c r="H114" s="43"/>
      <c r="I114" s="39">
        <f>+G114*D114</f>
        <v>209296936</v>
      </c>
      <c r="J114" s="25"/>
      <c r="K114" s="4"/>
    </row>
    <row r="115" spans="1:11">
      <c r="A115" s="57">
        <f>+A114+1</f>
        <v>2</v>
      </c>
      <c r="B115" s="55" t="s">
        <v>1253</v>
      </c>
      <c r="C115" s="4" t="s">
        <v>1022</v>
      </c>
      <c r="D115" s="39">
        <f>-'5-P3 Support'!D12</f>
        <v>-12825426</v>
      </c>
      <c r="E115" s="86"/>
      <c r="F115" s="86" t="str">
        <f>+F114</f>
        <v>TP</v>
      </c>
      <c r="G115" s="42">
        <f>+G114</f>
        <v>1</v>
      </c>
      <c r="H115" s="86"/>
      <c r="I115" s="39">
        <f>+G115*D115</f>
        <v>-12825426</v>
      </c>
      <c r="K115" s="4"/>
    </row>
    <row r="116" spans="1:11">
      <c r="A116" s="57">
        <f t="shared" ref="A116:A164" si="13">+A115+1</f>
        <v>3</v>
      </c>
      <c r="B116" s="22" t="s">
        <v>1254</v>
      </c>
      <c r="C116" s="4" t="s">
        <v>1023</v>
      </c>
      <c r="D116" s="39">
        <f>-'5-P3 Support'!E12</f>
        <v>0</v>
      </c>
      <c r="E116" s="4"/>
      <c r="F116" s="4" t="str">
        <f>+F115</f>
        <v>TP</v>
      </c>
      <c r="G116" s="42">
        <f>+G115</f>
        <v>1</v>
      </c>
      <c r="H116" s="43"/>
      <c r="I116" s="39">
        <f>+G116*D116</f>
        <v>0</v>
      </c>
      <c r="J116" s="25"/>
      <c r="K116" s="4"/>
    </row>
    <row r="117" spans="1:11">
      <c r="A117" s="57">
        <f t="shared" si="13"/>
        <v>4</v>
      </c>
      <c r="B117" s="22" t="s">
        <v>1255</v>
      </c>
      <c r="C117" s="22" t="s">
        <v>1024</v>
      </c>
      <c r="D117" s="39">
        <f>-'5-P3 Support'!F12</f>
        <v>-149160758</v>
      </c>
      <c r="E117" s="4"/>
      <c r="F117" s="22" t="str">
        <f>+F116</f>
        <v>TP</v>
      </c>
      <c r="G117" s="42">
        <v>1</v>
      </c>
      <c r="H117" s="43"/>
      <c r="I117" s="39">
        <f>+D117*G117</f>
        <v>-149160758</v>
      </c>
      <c r="J117" s="25"/>
      <c r="K117" s="4"/>
    </row>
    <row r="118" spans="1:11">
      <c r="A118" s="57">
        <f t="shared" si="13"/>
        <v>5</v>
      </c>
      <c r="B118" s="22" t="s">
        <v>30</v>
      </c>
      <c r="C118" s="104" t="s">
        <v>1080</v>
      </c>
      <c r="D118" s="39">
        <f>+'5B - A&amp;G'!E24</f>
        <v>173122774</v>
      </c>
      <c r="E118" s="4"/>
      <c r="F118" s="4" t="s">
        <v>76</v>
      </c>
      <c r="G118" s="42"/>
      <c r="H118" s="43"/>
      <c r="I118" s="39">
        <f>+'5B - A&amp;G'!J28</f>
        <v>16313423.037604682</v>
      </c>
      <c r="J118" s="4"/>
      <c r="K118" s="4" t="s">
        <v>2</v>
      </c>
    </row>
    <row r="119" spans="1:11">
      <c r="A119" s="57">
        <f>+A118+1</f>
        <v>6</v>
      </c>
      <c r="B119" s="55" t="s">
        <v>716</v>
      </c>
      <c r="C119" s="86"/>
      <c r="D119" s="53"/>
      <c r="E119" s="86"/>
      <c r="F119" s="86"/>
      <c r="G119" s="42"/>
      <c r="H119" s="86"/>
      <c r="I119" s="53"/>
      <c r="K119" s="4"/>
    </row>
    <row r="120" spans="1:11">
      <c r="A120" s="57">
        <f t="shared" si="13"/>
        <v>7</v>
      </c>
      <c r="B120" s="55" t="s">
        <v>97</v>
      </c>
      <c r="C120" s="86" t="s">
        <v>1025</v>
      </c>
      <c r="D120" s="53">
        <f>'5-P3 Support'!G12</f>
        <v>0</v>
      </c>
      <c r="E120" s="65"/>
      <c r="F120" s="65" t="s">
        <v>76</v>
      </c>
      <c r="G120" s="87">
        <v>1</v>
      </c>
      <c r="H120" s="65"/>
      <c r="I120" s="53">
        <f>+G120*D120</f>
        <v>0</v>
      </c>
      <c r="K120" s="4"/>
    </row>
    <row r="121" spans="1:11">
      <c r="A121" s="57">
        <f t="shared" si="13"/>
        <v>8</v>
      </c>
      <c r="B121" s="55" t="s">
        <v>322</v>
      </c>
      <c r="C121" s="4" t="s">
        <v>1026</v>
      </c>
      <c r="D121" s="53">
        <f>'5-P3 Support'!H12</f>
        <v>12825426</v>
      </c>
      <c r="E121" s="65"/>
      <c r="F121" s="65" t="s">
        <v>15</v>
      </c>
      <c r="G121" s="87">
        <f>+G114</f>
        <v>1</v>
      </c>
      <c r="H121" s="65"/>
      <c r="I121" s="53">
        <f>+G121*D121</f>
        <v>12825426</v>
      </c>
      <c r="K121" s="4"/>
    </row>
    <row r="122" spans="1:11">
      <c r="A122" s="57">
        <f>+A121+1</f>
        <v>9</v>
      </c>
      <c r="B122" s="55" t="s">
        <v>96</v>
      </c>
      <c r="C122" s="86" t="s">
        <v>760</v>
      </c>
      <c r="D122" s="53">
        <f>+D120+D121</f>
        <v>12825426</v>
      </c>
      <c r="E122" s="65"/>
      <c r="F122" s="65"/>
      <c r="G122" s="87"/>
      <c r="H122" s="65"/>
      <c r="I122" s="53">
        <f>+I120+I121</f>
        <v>12825426</v>
      </c>
      <c r="K122" s="4"/>
    </row>
    <row r="123" spans="1:11">
      <c r="A123" s="57">
        <f>+A122+1</f>
        <v>10</v>
      </c>
      <c r="B123" s="55" t="s">
        <v>717</v>
      </c>
      <c r="C123" s="86" t="s">
        <v>1031</v>
      </c>
      <c r="D123" s="53">
        <f>+'7 - PBOP'!F12</f>
        <v>-208016.47741085896</v>
      </c>
      <c r="E123" s="65"/>
      <c r="F123" s="52" t="s">
        <v>24</v>
      </c>
      <c r="G123" s="87">
        <f>$I$197</f>
        <v>9.9526966285675506E-2</v>
      </c>
      <c r="H123" s="100"/>
      <c r="I123" s="53">
        <f>+G123*D123</f>
        <v>-20703.248934135539</v>
      </c>
      <c r="K123" s="4"/>
    </row>
    <row r="124" spans="1:11" ht="13.5" thickBot="1">
      <c r="A124" s="57">
        <f>+A123+1</f>
        <v>11</v>
      </c>
      <c r="B124" s="55" t="s">
        <v>1256</v>
      </c>
      <c r="C124" s="4" t="s">
        <v>1122</v>
      </c>
      <c r="D124" s="46">
        <f>-'4E COA'!H17</f>
        <v>-7085243.5099999998</v>
      </c>
      <c r="E124" s="65"/>
      <c r="F124" s="52" t="s">
        <v>24</v>
      </c>
      <c r="G124" s="87">
        <f>$I$197</f>
        <v>9.9526966285675506E-2</v>
      </c>
      <c r="H124" s="100"/>
      <c r="I124" s="46">
        <f>D124*G124</f>
        <v>-705172.7919455712</v>
      </c>
      <c r="K124" s="4"/>
    </row>
    <row r="125" spans="1:11">
      <c r="A125" s="57">
        <f>A124+1</f>
        <v>12</v>
      </c>
      <c r="B125" s="105" t="s">
        <v>226</v>
      </c>
      <c r="C125" s="106" t="s">
        <v>1257</v>
      </c>
      <c r="D125" s="39">
        <f>SUM(D114:D118)+D122+D123+D124</f>
        <v>225965692.01258916</v>
      </c>
      <c r="E125" s="39"/>
      <c r="F125" s="39"/>
      <c r="G125" s="42"/>
      <c r="H125" s="39"/>
      <c r="I125" s="39">
        <f>SUM(I114:I118)+I122+I123+I124</f>
        <v>75723724.996724978</v>
      </c>
      <c r="J125" s="4"/>
      <c r="K125" s="4"/>
    </row>
    <row r="126" spans="1:11">
      <c r="A126" s="57"/>
      <c r="B126" s="3"/>
      <c r="C126" s="4"/>
      <c r="D126" s="39"/>
      <c r="E126" s="39"/>
      <c r="F126" s="39"/>
      <c r="G126" s="42"/>
      <c r="H126" s="39"/>
      <c r="I126" s="39"/>
      <c r="J126" s="4"/>
      <c r="K126" s="4"/>
    </row>
    <row r="127" spans="1:11">
      <c r="A127" s="57">
        <f>+A125+1</f>
        <v>13</v>
      </c>
      <c r="B127" s="22" t="s">
        <v>314</v>
      </c>
      <c r="C127" s="90"/>
      <c r="D127" s="39"/>
      <c r="E127" s="39"/>
      <c r="F127" s="39"/>
      <c r="G127" s="42"/>
      <c r="H127" s="39"/>
      <c r="I127" s="39"/>
      <c r="J127" s="4"/>
      <c r="K127" s="4"/>
    </row>
    <row r="128" spans="1:11">
      <c r="A128" s="57">
        <f t="shared" si="13"/>
        <v>14</v>
      </c>
      <c r="B128" s="22" t="s">
        <v>29</v>
      </c>
      <c r="C128" s="90" t="s">
        <v>1027</v>
      </c>
      <c r="D128" s="39">
        <f>'5-P3 Support'!I12</f>
        <v>27499483.839612998</v>
      </c>
      <c r="E128" s="39"/>
      <c r="F128" s="39" t="s">
        <v>15</v>
      </c>
      <c r="G128" s="42">
        <f>+G93</f>
        <v>1</v>
      </c>
      <c r="H128" s="39"/>
      <c r="I128" s="39">
        <f>+G128*D128</f>
        <v>27499483.839612998</v>
      </c>
      <c r="J128" s="4"/>
      <c r="K128" s="83"/>
    </row>
    <row r="129" spans="1:11">
      <c r="A129" s="57">
        <f t="shared" si="13"/>
        <v>15</v>
      </c>
      <c r="B129" s="107" t="s">
        <v>714</v>
      </c>
      <c r="C129" s="90" t="s">
        <v>1028</v>
      </c>
      <c r="D129" s="39">
        <f>'5-P3 Support'!C21</f>
        <v>21207818.060013998</v>
      </c>
      <c r="E129" s="39"/>
      <c r="F129" s="39" t="s">
        <v>24</v>
      </c>
      <c r="G129" s="87">
        <f>$I$197</f>
        <v>9.9526966285675506E-2</v>
      </c>
      <c r="H129" s="39"/>
      <c r="I129" s="39">
        <f>+G129*D129</f>
        <v>2110749.7930517532</v>
      </c>
      <c r="J129" s="4"/>
      <c r="K129" s="83"/>
    </row>
    <row r="130" spans="1:11">
      <c r="A130" s="57">
        <f t="shared" si="13"/>
        <v>16</v>
      </c>
      <c r="B130" s="107" t="s">
        <v>1438</v>
      </c>
      <c r="C130" s="43" t="s">
        <v>1440</v>
      </c>
      <c r="D130" s="39">
        <f>'5-P3 Support'!K12</f>
        <v>4860047.436365</v>
      </c>
      <c r="E130" s="39"/>
      <c r="F130" s="39" t="s">
        <v>15</v>
      </c>
      <c r="G130" s="42">
        <f>G128</f>
        <v>1</v>
      </c>
      <c r="H130" s="39"/>
      <c r="I130" s="39">
        <f>D130*G130</f>
        <v>4860047.436365</v>
      </c>
      <c r="J130" s="4"/>
      <c r="K130" s="83"/>
    </row>
    <row r="131" spans="1:11">
      <c r="A131" s="57" t="s">
        <v>792</v>
      </c>
      <c r="B131" s="107" t="s">
        <v>1439</v>
      </c>
      <c r="C131" s="43" t="s">
        <v>1441</v>
      </c>
      <c r="D131" s="39">
        <f>'5-P3 Support'!L12</f>
        <v>4000844.2912750002</v>
      </c>
      <c r="E131" s="39"/>
      <c r="F131" s="39" t="s">
        <v>24</v>
      </c>
      <c r="G131" s="42">
        <f>G129</f>
        <v>9.9526966285675506E-2</v>
      </c>
      <c r="H131" s="39"/>
      <c r="I131" s="39">
        <f>D131*G131</f>
        <v>398191.89489196427</v>
      </c>
      <c r="J131" s="4"/>
      <c r="K131" s="83"/>
    </row>
    <row r="132" spans="1:11">
      <c r="A132" s="57" t="s">
        <v>793</v>
      </c>
      <c r="B132" s="107" t="s">
        <v>1478</v>
      </c>
      <c r="C132" s="43" t="s">
        <v>1479</v>
      </c>
      <c r="D132" s="39">
        <f>'5-P3 Support'!M12</f>
        <v>9279239.8048517257</v>
      </c>
      <c r="E132" s="39"/>
      <c r="F132" s="39" t="s">
        <v>22</v>
      </c>
      <c r="G132" s="84" t="s">
        <v>106</v>
      </c>
      <c r="H132" s="39"/>
      <c r="I132" s="39">
        <v>0</v>
      </c>
      <c r="J132" s="4"/>
      <c r="K132" s="83"/>
    </row>
    <row r="133" spans="1:11">
      <c r="A133" s="57">
        <f>+A130+1</f>
        <v>17</v>
      </c>
      <c r="B133" s="22" t="s">
        <v>890</v>
      </c>
      <c r="C133" s="90" t="s">
        <v>1029</v>
      </c>
      <c r="D133" s="53">
        <f>'5-P3 Support'!J12</f>
        <v>41409815.482510999</v>
      </c>
      <c r="E133" s="53"/>
      <c r="F133" s="39" t="s">
        <v>24</v>
      </c>
      <c r="G133" s="87">
        <f>$I$197</f>
        <v>9.9526966285675506E-2</v>
      </c>
      <c r="H133" s="53"/>
      <c r="I133" s="53">
        <f>+G133*D133</f>
        <v>4121393.3094239156</v>
      </c>
      <c r="J133" s="4"/>
      <c r="K133" s="83"/>
    </row>
    <row r="134" spans="1:11">
      <c r="A134" s="57">
        <f t="shared" si="13"/>
        <v>18</v>
      </c>
      <c r="B134" s="22" t="s">
        <v>1057</v>
      </c>
      <c r="C134" s="4" t="s">
        <v>1032</v>
      </c>
      <c r="D134" s="53">
        <f>-'4E COA'!H86</f>
        <v>-133458.2012230237</v>
      </c>
      <c r="E134" s="53"/>
      <c r="F134" s="39" t="s">
        <v>24</v>
      </c>
      <c r="G134" s="87">
        <f>G61</f>
        <v>9.9526966285675506E-2</v>
      </c>
      <c r="H134" s="53"/>
      <c r="I134" s="53">
        <f>D134*G134</f>
        <v>-13282.689893670777</v>
      </c>
      <c r="J134" s="4"/>
      <c r="K134" s="83"/>
    </row>
    <row r="135" spans="1:11" ht="13.5" thickBot="1">
      <c r="A135" s="57">
        <f t="shared" si="13"/>
        <v>19</v>
      </c>
      <c r="B135" s="55" t="s">
        <v>92</v>
      </c>
      <c r="C135" s="4" t="s">
        <v>1030</v>
      </c>
      <c r="D135" s="46">
        <f>'5-P3 Support'!D21</f>
        <v>0</v>
      </c>
      <c r="E135" s="39"/>
      <c r="F135" s="39" t="s">
        <v>76</v>
      </c>
      <c r="G135" s="42">
        <v>1</v>
      </c>
      <c r="H135" s="39"/>
      <c r="I135" s="46">
        <f>+G135*D135</f>
        <v>0</v>
      </c>
      <c r="J135" s="4"/>
      <c r="K135" s="83"/>
    </row>
    <row r="136" spans="1:11">
      <c r="A136" s="57">
        <f t="shared" si="13"/>
        <v>20</v>
      </c>
      <c r="B136" s="22" t="s">
        <v>216</v>
      </c>
      <c r="C136" s="4" t="str">
        <f>"(Sum of Lines "&amp;A128&amp;" through "&amp;A135&amp;")"</f>
        <v>(Sum of Lines 14 through 19)</v>
      </c>
      <c r="D136" s="39">
        <f>SUM(D128:D135)</f>
        <v>108123790.7134067</v>
      </c>
      <c r="E136" s="39"/>
      <c r="F136" s="39"/>
      <c r="G136" s="42"/>
      <c r="H136" s="39"/>
      <c r="I136" s="39">
        <f>SUM(I128:I135)</f>
        <v>38976583.583451957</v>
      </c>
      <c r="J136" s="4"/>
      <c r="K136" s="4"/>
    </row>
    <row r="137" spans="1:11">
      <c r="A137" s="57"/>
      <c r="B137" s="22"/>
      <c r="C137" s="4"/>
      <c r="D137" s="39"/>
      <c r="E137" s="39"/>
      <c r="F137" s="39"/>
      <c r="G137" s="42"/>
      <c r="H137" s="39"/>
      <c r="I137" s="39"/>
      <c r="J137" s="4"/>
      <c r="K137" s="4"/>
    </row>
    <row r="138" spans="1:11">
      <c r="A138" s="57">
        <f>+A136+1</f>
        <v>21</v>
      </c>
      <c r="B138" s="22" t="s">
        <v>217</v>
      </c>
      <c r="C138" s="3" t="s">
        <v>164</v>
      </c>
      <c r="D138" s="39"/>
      <c r="E138" s="39"/>
      <c r="F138" s="39"/>
      <c r="G138" s="42"/>
      <c r="H138" s="39"/>
      <c r="I138" s="39"/>
      <c r="J138" s="4"/>
      <c r="K138" s="4"/>
    </row>
    <row r="139" spans="1:11">
      <c r="A139" s="57">
        <f t="shared" si="13"/>
        <v>22</v>
      </c>
      <c r="B139" s="22" t="s">
        <v>31</v>
      </c>
      <c r="C139" s="3"/>
      <c r="D139" s="39"/>
      <c r="E139" s="39"/>
      <c r="F139" s="39"/>
      <c r="G139" s="42"/>
      <c r="H139" s="39"/>
      <c r="I139" s="39"/>
      <c r="J139" s="4"/>
      <c r="K139" s="83"/>
    </row>
    <row r="140" spans="1:11">
      <c r="A140" s="57">
        <f t="shared" si="13"/>
        <v>23</v>
      </c>
      <c r="B140" s="22" t="s">
        <v>32</v>
      </c>
      <c r="C140" s="4" t="s">
        <v>1033</v>
      </c>
      <c r="D140" s="39">
        <f>'5-P3 Support'!E21</f>
        <v>12363358</v>
      </c>
      <c r="E140" s="39"/>
      <c r="F140" s="39" t="s">
        <v>24</v>
      </c>
      <c r="G140" s="42">
        <f>+G129</f>
        <v>9.9526966285675506E-2</v>
      </c>
      <c r="H140" s="39"/>
      <c r="I140" s="39">
        <f>+G140*D140</f>
        <v>1230487.5148437365</v>
      </c>
      <c r="J140" s="4"/>
      <c r="K140" s="83"/>
    </row>
    <row r="141" spans="1:11">
      <c r="A141" s="57">
        <f t="shared" si="13"/>
        <v>24</v>
      </c>
      <c r="B141" s="108" t="str">
        <f>'5-P3 Support'!F15</f>
        <v>Labor Related Taxes to be Excluded</v>
      </c>
      <c r="C141" s="4" t="s">
        <v>1034</v>
      </c>
      <c r="D141" s="39">
        <f>'5-P3 Support'!F21</f>
        <v>0</v>
      </c>
      <c r="E141" s="39"/>
      <c r="F141" s="39" t="s">
        <v>24</v>
      </c>
      <c r="G141" s="42">
        <f>+G140</f>
        <v>9.9526966285675506E-2</v>
      </c>
      <c r="H141" s="39"/>
      <c r="I141" s="39">
        <f>+G141*D141</f>
        <v>0</v>
      </c>
      <c r="J141" s="4"/>
      <c r="K141" s="83"/>
    </row>
    <row r="142" spans="1:11">
      <c r="A142" s="57">
        <f t="shared" si="13"/>
        <v>25</v>
      </c>
      <c r="B142" s="22" t="s">
        <v>33</v>
      </c>
      <c r="C142" s="4" t="s">
        <v>2</v>
      </c>
      <c r="D142" s="39"/>
      <c r="E142" s="39"/>
      <c r="F142" s="39"/>
      <c r="G142" s="42"/>
      <c r="H142" s="39"/>
      <c r="I142" s="39"/>
      <c r="J142" s="4"/>
      <c r="K142" s="83"/>
    </row>
    <row r="143" spans="1:11">
      <c r="A143" s="57">
        <f t="shared" si="13"/>
        <v>26</v>
      </c>
      <c r="B143" s="22" t="s">
        <v>34</v>
      </c>
      <c r="C143" s="4" t="s">
        <v>1081</v>
      </c>
      <c r="D143" s="39">
        <f>'5-P3 Support'!G21</f>
        <v>13883341</v>
      </c>
      <c r="E143" s="39"/>
      <c r="F143" s="39" t="s">
        <v>28</v>
      </c>
      <c r="G143" s="42">
        <f>+G53</f>
        <v>0.17911541083015697</v>
      </c>
      <c r="H143" s="39"/>
      <c r="I143" s="39">
        <f>+G143*D143</f>
        <v>2486720.3269101623</v>
      </c>
      <c r="J143" s="4"/>
      <c r="K143" s="83"/>
    </row>
    <row r="144" spans="1:11">
      <c r="A144" s="57">
        <f t="shared" si="13"/>
        <v>27</v>
      </c>
      <c r="B144" s="22" t="s">
        <v>1402</v>
      </c>
      <c r="C144" s="4" t="s">
        <v>1035</v>
      </c>
      <c r="D144" s="39">
        <f>'5-P3 Support'!H21</f>
        <v>140527788</v>
      </c>
      <c r="E144" s="39"/>
      <c r="F144" s="39" t="s">
        <v>22</v>
      </c>
      <c r="G144" s="84" t="s">
        <v>106</v>
      </c>
      <c r="H144" s="39"/>
      <c r="I144" s="39">
        <v>0</v>
      </c>
      <c r="J144" s="4"/>
      <c r="K144" s="83"/>
    </row>
    <row r="145" spans="1:11">
      <c r="A145" s="57">
        <f t="shared" si="13"/>
        <v>28</v>
      </c>
      <c r="B145" s="22" t="s">
        <v>35</v>
      </c>
      <c r="C145" s="4" t="s">
        <v>1036</v>
      </c>
      <c r="D145" s="39">
        <f>'5-P3 Support'!I21</f>
        <v>7292933</v>
      </c>
      <c r="E145" s="39"/>
      <c r="F145" s="39" t="s">
        <v>28</v>
      </c>
      <c r="G145" s="42">
        <f>+G143</f>
        <v>0.17911541083015697</v>
      </c>
      <c r="H145" s="39"/>
      <c r="I145" s="39">
        <f>+G145*D145</f>
        <v>1306276.6904518092</v>
      </c>
      <c r="J145" s="4"/>
      <c r="K145" s="83"/>
    </row>
    <row r="146" spans="1:11" ht="13.5" thickBot="1">
      <c r="A146" s="57">
        <f t="shared" si="13"/>
        <v>29</v>
      </c>
      <c r="B146" s="22" t="s">
        <v>1381</v>
      </c>
      <c r="C146" s="4" t="s">
        <v>1037</v>
      </c>
      <c r="D146" s="46">
        <f>'5-P3 Support'!J21</f>
        <v>0</v>
      </c>
      <c r="E146" s="39"/>
      <c r="F146" s="39" t="s">
        <v>28</v>
      </c>
      <c r="G146" s="42">
        <f>+G143</f>
        <v>0.17911541083015697</v>
      </c>
      <c r="H146" s="39"/>
      <c r="I146" s="46">
        <f>+G146*D146</f>
        <v>0</v>
      </c>
      <c r="J146" s="4"/>
      <c r="K146" s="83"/>
    </row>
    <row r="147" spans="1:11">
      <c r="A147" s="57">
        <f t="shared" si="13"/>
        <v>30</v>
      </c>
      <c r="B147" s="22" t="s">
        <v>218</v>
      </c>
      <c r="C147" s="4" t="str">
        <f>"(Sum of Lines "&amp;A140&amp;" through "&amp;A146&amp;")"</f>
        <v>(Sum of Lines 23 through 29)</v>
      </c>
      <c r="D147" s="39">
        <f>SUM(D140:D146)</f>
        <v>174067420</v>
      </c>
      <c r="E147" s="39"/>
      <c r="F147" s="39"/>
      <c r="G147" s="42"/>
      <c r="H147" s="39"/>
      <c r="I147" s="39">
        <f>SUM(I140:I146)</f>
        <v>5023484.5322057083</v>
      </c>
      <c r="J147" s="4"/>
      <c r="K147" s="83"/>
    </row>
    <row r="148" spans="1:11">
      <c r="A148" s="57"/>
      <c r="B148" s="22"/>
      <c r="C148" s="4"/>
      <c r="D148" s="39"/>
      <c r="E148" s="39"/>
      <c r="F148" s="39"/>
      <c r="G148" s="42"/>
      <c r="H148" s="39"/>
      <c r="I148" s="39"/>
      <c r="J148" s="4"/>
      <c r="K148" s="83"/>
    </row>
    <row r="149" spans="1:11">
      <c r="A149" s="57">
        <f>A147+1</f>
        <v>31</v>
      </c>
      <c r="B149" s="109" t="s">
        <v>657</v>
      </c>
      <c r="C149" s="88" t="s">
        <v>655</v>
      </c>
      <c r="D149" s="878">
        <v>0</v>
      </c>
      <c r="E149" s="65"/>
      <c r="F149" s="65" t="str">
        <f>+F86</f>
        <v>DA</v>
      </c>
      <c r="G149" s="87">
        <v>1</v>
      </c>
      <c r="H149" s="65"/>
      <c r="I149" s="53">
        <f>+G149*D149</f>
        <v>0</v>
      </c>
      <c r="J149" s="4"/>
      <c r="K149" s="83"/>
    </row>
    <row r="150" spans="1:11">
      <c r="A150" s="57"/>
      <c r="B150" s="109"/>
      <c r="C150" s="4"/>
      <c r="D150" s="4"/>
      <c r="E150" s="4"/>
      <c r="F150" s="4"/>
      <c r="G150" s="42"/>
      <c r="H150" s="4"/>
      <c r="I150" s="4"/>
      <c r="J150" s="4"/>
    </row>
    <row r="151" spans="1:11">
      <c r="A151" s="57">
        <f>A149+1</f>
        <v>32</v>
      </c>
      <c r="B151" s="22" t="s">
        <v>36</v>
      </c>
      <c r="C151" s="4" t="str">
        <f>"(Note "&amp;A$231&amp;")"</f>
        <v>(Note G)</v>
      </c>
      <c r="D151" s="4"/>
      <c r="E151" s="4"/>
      <c r="F151" s="3"/>
      <c r="G151" s="82"/>
      <c r="H151" s="4"/>
      <c r="I151" s="3"/>
      <c r="J151" s="4"/>
    </row>
    <row r="152" spans="1:11">
      <c r="A152" s="57">
        <f t="shared" si="13"/>
        <v>33</v>
      </c>
      <c r="B152" s="110" t="s">
        <v>421</v>
      </c>
      <c r="C152" s="4" t="s">
        <v>762</v>
      </c>
      <c r="D152" s="111">
        <f>IF(D232&gt;0,1-(((1-D233)*(1-D232))/(1-D233*D232*D234)),0)</f>
        <v>0.28892099999999998</v>
      </c>
      <c r="E152" s="4"/>
      <c r="F152" s="3"/>
      <c r="G152" s="82"/>
      <c r="H152" s="4"/>
      <c r="I152" s="3"/>
      <c r="J152" s="4"/>
    </row>
    <row r="153" spans="1:11">
      <c r="A153" s="57">
        <f t="shared" si="13"/>
        <v>34</v>
      </c>
      <c r="B153" s="3" t="s">
        <v>37</v>
      </c>
      <c r="C153" s="4" t="s">
        <v>1059</v>
      </c>
      <c r="D153" s="111">
        <f>IF(I203&gt;0,(D152/(1-D152))*(1-I203/I206),0)</f>
        <v>0.30684514584079414</v>
      </c>
      <c r="E153" s="4"/>
      <c r="F153" s="3"/>
      <c r="G153" s="82"/>
      <c r="H153" s="4"/>
      <c r="I153" s="3"/>
      <c r="J153" s="4"/>
      <c r="K153" s="3"/>
    </row>
    <row r="154" spans="1:11">
      <c r="A154" s="57">
        <f t="shared" si="13"/>
        <v>35</v>
      </c>
      <c r="B154" s="22" t="s">
        <v>240</v>
      </c>
      <c r="C154" s="4" t="s">
        <v>241</v>
      </c>
      <c r="D154" s="4"/>
      <c r="E154" s="4"/>
      <c r="F154" s="3"/>
      <c r="G154" s="82"/>
      <c r="H154" s="4"/>
      <c r="I154" s="3"/>
      <c r="J154" s="4"/>
      <c r="K154" s="3"/>
    </row>
    <row r="155" spans="1:11">
      <c r="A155" s="57">
        <f t="shared" si="13"/>
        <v>36</v>
      </c>
      <c r="B155" s="22"/>
      <c r="D155" s="4"/>
      <c r="E155" s="4"/>
      <c r="F155" s="3"/>
      <c r="G155" s="82"/>
      <c r="H155" s="4"/>
      <c r="I155" s="3"/>
      <c r="J155" s="4"/>
      <c r="K155" s="3"/>
    </row>
    <row r="156" spans="1:11">
      <c r="A156" s="57">
        <f>+A155+1</f>
        <v>37</v>
      </c>
      <c r="B156" s="110" t="str">
        <f>"      1 / (1 - T)  =  (T from line "&amp;A152&amp;")"</f>
        <v xml:space="preserve">      1 / (1 - T)  =  (T from line 33)</v>
      </c>
      <c r="C156" s="4"/>
      <c r="D156" s="111">
        <f>IF(D121=0,0,1/(1-D152))</f>
        <v>1.4063135038441579</v>
      </c>
      <c r="E156" s="4"/>
      <c r="F156" s="3"/>
      <c r="G156" s="82"/>
      <c r="H156" s="4"/>
      <c r="I156" s="39"/>
      <c r="J156" s="4"/>
      <c r="K156" s="3"/>
    </row>
    <row r="157" spans="1:11">
      <c r="A157" s="57">
        <f t="shared" si="13"/>
        <v>38</v>
      </c>
      <c r="B157" s="22" t="s">
        <v>1259</v>
      </c>
      <c r="C157" s="4" t="s">
        <v>1260</v>
      </c>
      <c r="D157" s="39">
        <f>-'5-P3 Support'!K21</f>
        <v>-2445.5559139626312</v>
      </c>
      <c r="E157" s="4"/>
      <c r="F157" s="3"/>
      <c r="G157" s="82"/>
      <c r="H157" s="4"/>
      <c r="I157" s="39"/>
      <c r="J157" s="4"/>
      <c r="K157" s="3"/>
    </row>
    <row r="158" spans="1:11">
      <c r="A158" s="57">
        <f t="shared" si="13"/>
        <v>39</v>
      </c>
      <c r="B158" s="22" t="s">
        <v>1261</v>
      </c>
      <c r="C158" s="4" t="s">
        <v>1262</v>
      </c>
      <c r="D158" s="39">
        <f>-'5-P3 Support'!L21</f>
        <v>-3680787.9852743056</v>
      </c>
      <c r="E158" s="4"/>
      <c r="F158" s="3"/>
      <c r="G158" s="87"/>
      <c r="H158" s="4"/>
      <c r="I158" s="39"/>
      <c r="J158" s="4"/>
      <c r="K158" s="3"/>
    </row>
    <row r="159" spans="1:11">
      <c r="A159" s="57">
        <f t="shared" si="13"/>
        <v>40</v>
      </c>
      <c r="B159" s="22" t="s">
        <v>281</v>
      </c>
      <c r="C159" s="4" t="s">
        <v>1038</v>
      </c>
      <c r="D159" s="39">
        <f>'5-P3 Support'!M21</f>
        <v>582871.92757483781</v>
      </c>
      <c r="E159" s="4"/>
      <c r="F159" s="3"/>
      <c r="G159" s="82"/>
      <c r="H159" s="4"/>
      <c r="I159" s="39"/>
      <c r="J159" s="4"/>
      <c r="K159" s="3"/>
    </row>
    <row r="160" spans="1:11">
      <c r="A160" s="57">
        <f t="shared" si="13"/>
        <v>41</v>
      </c>
      <c r="B160" s="110" t="s">
        <v>236</v>
      </c>
      <c r="C160" s="112" t="str">
        <f>"(Line "&amp;A153&amp;" times Line "&amp;A167&amp;")"</f>
        <v>(Line 34 times Line 47)</v>
      </c>
      <c r="D160" s="113">
        <f>+D153*D167</f>
        <v>177930929.05376497</v>
      </c>
      <c r="E160" s="43"/>
      <c r="F160" s="43" t="s">
        <v>22</v>
      </c>
      <c r="G160" s="42"/>
      <c r="H160" s="43"/>
      <c r="I160" s="113">
        <f>+D153*I167</f>
        <v>25640305.103468254</v>
      </c>
      <c r="J160" s="4"/>
      <c r="K160" s="45" t="s">
        <v>2</v>
      </c>
    </row>
    <row r="161" spans="1:11">
      <c r="A161" s="57">
        <f t="shared" si="13"/>
        <v>42</v>
      </c>
      <c r="B161" s="3" t="s">
        <v>237</v>
      </c>
      <c r="C161" s="112" t="str">
        <f>"(Line "&amp;A156&amp;" times Line "&amp;A157&amp;")"</f>
        <v>(Line 37 times Line 38)</v>
      </c>
      <c r="D161" s="113">
        <f>+D$156*D157</f>
        <v>-3439.2183062115896</v>
      </c>
      <c r="E161" s="43"/>
      <c r="F161" s="114" t="s">
        <v>15</v>
      </c>
      <c r="G161" s="42">
        <v>1</v>
      </c>
      <c r="H161" s="43"/>
      <c r="I161" s="113">
        <f>+G161*D161</f>
        <v>-3439.2183062115896</v>
      </c>
      <c r="J161" s="4"/>
      <c r="K161" s="45"/>
    </row>
    <row r="162" spans="1:11">
      <c r="A162" s="57">
        <f t="shared" si="13"/>
        <v>43</v>
      </c>
      <c r="B162" s="3" t="s">
        <v>238</v>
      </c>
      <c r="C162" s="112" t="str">
        <f>"(Line "&amp;A156&amp;" times Line "&amp;A158&amp;")"</f>
        <v>(Line 37 times Line 39)</v>
      </c>
      <c r="D162" s="113">
        <f>+D$156*D158</f>
        <v>-5176341.8484785873</v>
      </c>
      <c r="E162" s="43"/>
      <c r="F162" s="114" t="s">
        <v>15</v>
      </c>
      <c r="G162" s="42">
        <v>1</v>
      </c>
      <c r="H162" s="43"/>
      <c r="I162" s="113">
        <f>+G162*D162</f>
        <v>-5176341.8484785873</v>
      </c>
      <c r="J162" s="4"/>
      <c r="K162" s="45"/>
    </row>
    <row r="163" spans="1:11" ht="13.5" thickBot="1">
      <c r="A163" s="57">
        <f t="shared" si="13"/>
        <v>44</v>
      </c>
      <c r="B163" s="3" t="s">
        <v>109</v>
      </c>
      <c r="C163" s="112" t="str">
        <f>"(Line "&amp;A156&amp;" times Line "&amp;A159&amp;")"</f>
        <v>(Line 37 times Line 40)</v>
      </c>
      <c r="D163" s="113">
        <f>+D$156*D159</f>
        <v>819700.66276016843</v>
      </c>
      <c r="E163" s="43"/>
      <c r="F163" s="114" t="s">
        <v>15</v>
      </c>
      <c r="G163" s="42">
        <v>1</v>
      </c>
      <c r="H163" s="43"/>
      <c r="I163" s="115">
        <f>+G163*D163</f>
        <v>819700.66276016843</v>
      </c>
      <c r="J163" s="4"/>
      <c r="K163" s="45"/>
    </row>
    <row r="164" spans="1:11">
      <c r="A164" s="57">
        <f t="shared" si="13"/>
        <v>45</v>
      </c>
      <c r="B164" s="110" t="s">
        <v>239</v>
      </c>
      <c r="C164" s="3" t="str">
        <f>"(Sum of Lines "&amp;A160&amp;" through "&amp;A163&amp;")"</f>
        <v>(Sum of Lines 41 through 44)</v>
      </c>
      <c r="D164" s="113">
        <f>SUM(D160:D163)</f>
        <v>173570848.64974034</v>
      </c>
      <c r="E164" s="43"/>
      <c r="F164" s="43" t="s">
        <v>2</v>
      </c>
      <c r="G164" s="116" t="s">
        <v>2</v>
      </c>
      <c r="H164" s="43"/>
      <c r="I164" s="113">
        <f>SUM(I160:I163)</f>
        <v>21280224.699443623</v>
      </c>
      <c r="J164" s="4"/>
      <c r="K164" s="4"/>
    </row>
    <row r="165" spans="1:11">
      <c r="A165" s="57"/>
      <c r="B165" s="3"/>
      <c r="C165" s="117"/>
      <c r="D165" s="39"/>
      <c r="E165" s="4"/>
      <c r="F165" s="4"/>
      <c r="G165" s="118"/>
      <c r="H165" s="4"/>
      <c r="I165" s="39"/>
      <c r="J165" s="4"/>
      <c r="K165" s="4"/>
    </row>
    <row r="166" spans="1:11">
      <c r="A166" s="57">
        <f>+A164+1</f>
        <v>46</v>
      </c>
      <c r="B166" s="22" t="s">
        <v>39</v>
      </c>
      <c r="J166" s="4"/>
      <c r="K166" s="3"/>
    </row>
    <row r="167" spans="1:11">
      <c r="A167" s="57">
        <f>A166+1</f>
        <v>47</v>
      </c>
      <c r="B167" s="110" t="s">
        <v>291</v>
      </c>
      <c r="C167" s="110" t="s">
        <v>1058</v>
      </c>
      <c r="D167" s="39">
        <f>+$I206*D101</f>
        <v>579872067.28075147</v>
      </c>
      <c r="E167" s="43"/>
      <c r="F167" s="43" t="s">
        <v>22</v>
      </c>
      <c r="G167" s="119"/>
      <c r="H167" s="43"/>
      <c r="I167" s="39">
        <f>+$I206*I101</f>
        <v>83561058.243924975</v>
      </c>
      <c r="K167" s="83"/>
    </row>
    <row r="168" spans="1:11">
      <c r="A168" s="57"/>
      <c r="B168" s="110"/>
      <c r="C168" s="110"/>
      <c r="D168" s="39"/>
      <c r="E168" s="43"/>
      <c r="F168" s="43"/>
      <c r="G168" s="119"/>
      <c r="H168" s="43"/>
      <c r="I168" s="39"/>
      <c r="K168" s="83"/>
    </row>
    <row r="169" spans="1:11">
      <c r="A169" s="57" t="s">
        <v>1152</v>
      </c>
      <c r="B169" s="22" t="s">
        <v>1263</v>
      </c>
      <c r="C169" s="3" t="s">
        <v>1264</v>
      </c>
      <c r="D169" s="53">
        <f>-'10 - Pension Asset Discount'!I20</f>
        <v>-1104409.9981992072</v>
      </c>
      <c r="E169" s="43"/>
      <c r="F169" s="43" t="s">
        <v>76</v>
      </c>
      <c r="G169" s="42">
        <v>1</v>
      </c>
      <c r="H169" s="43"/>
      <c r="I169" s="53">
        <f>D169*G169</f>
        <v>-1104409.9981992072</v>
      </c>
      <c r="J169" s="4"/>
      <c r="K169" s="83"/>
    </row>
    <row r="170" spans="1:11" ht="13.5" thickBot="1">
      <c r="A170" s="57">
        <f>A167+1</f>
        <v>48</v>
      </c>
      <c r="B170" s="22" t="s">
        <v>1265</v>
      </c>
      <c r="C170" s="4" t="str">
        <f>"(Sum of Lines "&amp;A125&amp;", "&amp;A136&amp;", "&amp;A147&amp;", "&amp;A149&amp;", "&amp;A164&amp;", "&amp;A167&amp;")"</f>
        <v>(Sum of Lines 12, 20, 30, 31, 45, 47)</v>
      </c>
      <c r="D170" s="120">
        <f>+D167+D164+D147+D136+D125+D149+D169</f>
        <v>1260495408.6582885</v>
      </c>
      <c r="E170" s="43"/>
      <c r="F170" s="43"/>
      <c r="G170" s="100"/>
      <c r="H170" s="43"/>
      <c r="I170" s="120">
        <f>+I167+I164+I147+I136+I125+I149+I169</f>
        <v>223460666.05755207</v>
      </c>
      <c r="J170" s="25"/>
      <c r="K170" s="25"/>
    </row>
    <row r="171" spans="1:11" ht="1.4" customHeight="1" thickTop="1">
      <c r="A171" s="57"/>
      <c r="B171" s="22"/>
      <c r="C171" s="4"/>
      <c r="D171" s="100"/>
      <c r="E171" s="43"/>
      <c r="F171" s="43"/>
      <c r="G171" s="100"/>
      <c r="H171" s="43"/>
      <c r="I171" s="53"/>
      <c r="J171" s="25"/>
      <c r="K171" s="25"/>
    </row>
    <row r="172" spans="1:11">
      <c r="A172" s="57"/>
      <c r="B172" s="121"/>
      <c r="C172" s="43"/>
      <c r="D172" s="100"/>
      <c r="E172" s="100"/>
      <c r="F172" s="100"/>
      <c r="G172" s="100"/>
      <c r="H172" s="100"/>
      <c r="I172" s="100"/>
      <c r="J172" s="25"/>
      <c r="K172" s="25"/>
    </row>
    <row r="173" spans="1:11">
      <c r="A173" s="24"/>
      <c r="B173" s="3"/>
      <c r="C173" s="3"/>
      <c r="D173" s="3"/>
      <c r="E173" s="3"/>
      <c r="F173" s="3"/>
      <c r="G173" s="3"/>
      <c r="H173" s="3"/>
      <c r="I173" s="3"/>
      <c r="J173" s="4"/>
      <c r="K173" s="102" t="s">
        <v>110</v>
      </c>
    </row>
    <row r="174" spans="1:11">
      <c r="A174" s="24"/>
      <c r="B174" s="3"/>
      <c r="C174" s="3"/>
      <c r="D174" s="3"/>
      <c r="E174" s="3"/>
      <c r="F174" s="3"/>
      <c r="G174" s="3"/>
      <c r="H174" s="3"/>
      <c r="I174" s="3"/>
      <c r="J174" s="4"/>
      <c r="K174" s="4"/>
    </row>
    <row r="175" spans="1:11">
      <c r="A175" s="24"/>
      <c r="B175" s="22" t="s">
        <v>1</v>
      </c>
      <c r="C175" s="3"/>
      <c r="D175" s="122" t="s">
        <v>72</v>
      </c>
      <c r="E175" s="3"/>
      <c r="F175" s="3"/>
      <c r="G175" s="3"/>
      <c r="H175" s="3"/>
      <c r="I175" s="18"/>
      <c r="J175" s="4"/>
      <c r="K175" s="123" t="str">
        <f>K3</f>
        <v>For  the 12 months ended 12/31/2022</v>
      </c>
    </row>
    <row r="176" spans="1:11">
      <c r="A176" s="24"/>
      <c r="B176" s="22"/>
      <c r="C176" s="3"/>
      <c r="D176" s="122" t="s">
        <v>98</v>
      </c>
      <c r="E176" s="3"/>
      <c r="F176" s="3"/>
      <c r="G176" s="3"/>
      <c r="H176" s="3"/>
      <c r="I176" s="3"/>
      <c r="J176" s="4"/>
      <c r="K176" s="4"/>
    </row>
    <row r="177" spans="1:11">
      <c r="A177" s="24"/>
      <c r="B177" s="3"/>
      <c r="C177" s="3"/>
      <c r="D177" s="122" t="str">
        <f>+D108</f>
        <v>PECO Energy Company</v>
      </c>
      <c r="E177" s="3"/>
      <c r="F177" s="3"/>
      <c r="G177" s="3"/>
      <c r="H177" s="3"/>
      <c r="I177" s="3"/>
      <c r="J177" s="4"/>
      <c r="K177" s="4"/>
    </row>
    <row r="178" spans="1:11">
      <c r="A178" s="1103"/>
      <c r="B178" s="1103"/>
      <c r="C178" s="1103"/>
      <c r="D178" s="1103"/>
      <c r="E178" s="1103"/>
      <c r="F178" s="1103"/>
      <c r="G178" s="1103"/>
      <c r="H178" s="1103"/>
      <c r="I178" s="1103"/>
      <c r="J178" s="1103"/>
      <c r="K178" s="1103"/>
    </row>
    <row r="179" spans="1:11" s="126" customFormat="1">
      <c r="A179" s="124"/>
      <c r="B179" s="24" t="s">
        <v>3</v>
      </c>
      <c r="C179" s="24" t="s">
        <v>4</v>
      </c>
      <c r="D179" s="24" t="s">
        <v>5</v>
      </c>
      <c r="E179" s="4" t="s">
        <v>2</v>
      </c>
      <c r="F179" s="4"/>
      <c r="G179" s="31" t="s">
        <v>6</v>
      </c>
      <c r="H179" s="4"/>
      <c r="I179" s="31" t="s">
        <v>7</v>
      </c>
      <c r="J179" s="125"/>
      <c r="K179" s="125"/>
    </row>
    <row r="180" spans="1:11">
      <c r="A180" s="24"/>
      <c r="B180" s="3"/>
      <c r="C180" s="22"/>
      <c r="D180" s="22"/>
      <c r="E180" s="22"/>
      <c r="F180" s="22"/>
      <c r="G180" s="22"/>
      <c r="H180" s="22"/>
      <c r="I180" s="22"/>
      <c r="J180" s="22"/>
      <c r="K180" s="22"/>
    </row>
    <row r="181" spans="1:11">
      <c r="A181" s="24"/>
      <c r="B181" s="3"/>
      <c r="C181" s="80" t="s">
        <v>40</v>
      </c>
      <c r="D181" s="3"/>
      <c r="E181" s="25"/>
      <c r="F181" s="25"/>
      <c r="G181" s="25"/>
      <c r="H181" s="25"/>
      <c r="I181" s="25"/>
      <c r="J181" s="4"/>
      <c r="K181" s="4"/>
    </row>
    <row r="182" spans="1:11">
      <c r="A182" s="24" t="s">
        <v>8</v>
      </c>
      <c r="B182" s="80"/>
      <c r="C182" s="25"/>
      <c r="D182" s="25"/>
      <c r="E182" s="25"/>
      <c r="F182" s="25"/>
      <c r="G182" s="25"/>
      <c r="H182" s="25"/>
      <c r="I182" s="25"/>
      <c r="J182" s="4"/>
      <c r="K182" s="4"/>
    </row>
    <row r="183" spans="1:11" ht="13.5" thickBot="1">
      <c r="A183" s="35" t="s">
        <v>10</v>
      </c>
      <c r="B183" s="22" t="s">
        <v>41</v>
      </c>
      <c r="C183" s="25"/>
      <c r="D183" s="25"/>
      <c r="E183" s="25"/>
      <c r="F183" s="25"/>
      <c r="G183" s="25"/>
      <c r="H183" s="3"/>
      <c r="I183" s="3"/>
      <c r="J183" s="4"/>
      <c r="K183" s="4"/>
    </row>
    <row r="184" spans="1:11">
      <c r="A184" s="24">
        <v>1</v>
      </c>
      <c r="B184" s="25" t="s">
        <v>230</v>
      </c>
      <c r="C184" s="25" t="s">
        <v>299</v>
      </c>
      <c r="D184" s="4"/>
      <c r="E184" s="4"/>
      <c r="F184" s="4"/>
      <c r="G184" s="4"/>
      <c r="H184" s="4"/>
      <c r="I184" s="39">
        <f>D47</f>
        <v>1866599451.1883557</v>
      </c>
      <c r="J184" s="4"/>
      <c r="K184" s="4"/>
    </row>
    <row r="185" spans="1:11">
      <c r="A185" s="24">
        <f>+A184+1</f>
        <v>2</v>
      </c>
      <c r="B185" s="25" t="s">
        <v>710</v>
      </c>
      <c r="C185" s="3" t="s">
        <v>228</v>
      </c>
      <c r="D185" s="3"/>
      <c r="E185" s="3"/>
      <c r="F185" s="3"/>
      <c r="G185" s="3"/>
      <c r="H185" s="3"/>
      <c r="I185" s="877">
        <v>0</v>
      </c>
      <c r="J185" s="4"/>
      <c r="K185" s="4"/>
    </row>
    <row r="186" spans="1:11" ht="13.5" thickBot="1">
      <c r="A186" s="24">
        <f>+A185+1</f>
        <v>3</v>
      </c>
      <c r="B186" s="127" t="s">
        <v>231</v>
      </c>
      <c r="C186" s="127" t="s">
        <v>229</v>
      </c>
      <c r="D186" s="18"/>
      <c r="E186" s="4"/>
      <c r="F186" s="4"/>
      <c r="G186" s="27"/>
      <c r="H186" s="4"/>
      <c r="I186" s="880">
        <v>0</v>
      </c>
      <c r="J186" s="4"/>
      <c r="K186" s="4"/>
    </row>
    <row r="187" spans="1:11">
      <c r="A187" s="24">
        <f t="shared" ref="A187:A197" si="14">+A186+1</f>
        <v>4</v>
      </c>
      <c r="B187" s="25" t="s">
        <v>711</v>
      </c>
      <c r="C187" s="25" t="s">
        <v>232</v>
      </c>
      <c r="D187" s="4"/>
      <c r="E187" s="4"/>
      <c r="F187" s="4"/>
      <c r="G187" s="27"/>
      <c r="H187" s="4"/>
      <c r="I187" s="39">
        <f>I184-I185-I186</f>
        <v>1866599451.1883557</v>
      </c>
      <c r="J187" s="4"/>
      <c r="K187" s="4"/>
    </row>
    <row r="188" spans="1:11">
      <c r="A188" s="24"/>
      <c r="B188" s="3"/>
      <c r="C188" s="25"/>
      <c r="D188" s="4"/>
      <c r="E188" s="4"/>
      <c r="F188" s="4"/>
      <c r="G188" s="27"/>
      <c r="H188" s="4"/>
      <c r="I188" s="39"/>
      <c r="J188" s="4"/>
      <c r="K188" s="4"/>
    </row>
    <row r="189" spans="1:11">
      <c r="A189" s="24">
        <f>+A187+1</f>
        <v>5</v>
      </c>
      <c r="B189" s="25" t="s">
        <v>712</v>
      </c>
      <c r="C189" s="34" t="s">
        <v>233</v>
      </c>
      <c r="D189" s="30"/>
      <c r="E189" s="30"/>
      <c r="F189" s="30"/>
      <c r="G189" s="31"/>
      <c r="H189" s="4" t="s">
        <v>42</v>
      </c>
      <c r="I189" s="84">
        <f>IF(I184&gt;0,I187/I184,0)</f>
        <v>1</v>
      </c>
      <c r="J189" s="4"/>
      <c r="K189" s="4"/>
    </row>
    <row r="190" spans="1:11">
      <c r="A190" s="24"/>
      <c r="B190" s="3"/>
      <c r="C190" s="3"/>
      <c r="D190" s="3"/>
      <c r="E190" s="3"/>
      <c r="F190" s="3"/>
      <c r="G190" s="3"/>
      <c r="H190" s="3"/>
      <c r="I190" s="3"/>
      <c r="J190" s="3"/>
      <c r="K190" s="3"/>
    </row>
    <row r="191" spans="1:11">
      <c r="A191" s="24">
        <f>+A189+1</f>
        <v>6</v>
      </c>
      <c r="B191" s="22" t="s">
        <v>111</v>
      </c>
      <c r="C191" s="4"/>
      <c r="D191" s="4"/>
      <c r="E191" s="4"/>
      <c r="F191" s="4"/>
      <c r="G191" s="4"/>
      <c r="H191" s="4"/>
      <c r="I191" s="4"/>
      <c r="J191" s="4"/>
      <c r="K191" s="4"/>
    </row>
    <row r="192" spans="1:11" ht="13.5" thickBot="1">
      <c r="A192" s="24"/>
      <c r="B192" s="22"/>
      <c r="C192" s="128" t="s">
        <v>43</v>
      </c>
      <c r="D192" s="129" t="s">
        <v>44</v>
      </c>
      <c r="E192" s="129" t="s">
        <v>15</v>
      </c>
      <c r="F192" s="4"/>
      <c r="G192" s="129" t="s">
        <v>45</v>
      </c>
      <c r="H192" s="4"/>
      <c r="I192" s="4"/>
      <c r="J192" s="4"/>
      <c r="K192" s="4"/>
    </row>
    <row r="193" spans="1:11">
      <c r="A193" s="24">
        <f>+A191+1</f>
        <v>7</v>
      </c>
      <c r="B193" s="22" t="s">
        <v>800</v>
      </c>
      <c r="C193" s="4" t="s">
        <v>46</v>
      </c>
      <c r="D193" s="877">
        <v>0</v>
      </c>
      <c r="E193" s="130">
        <v>0</v>
      </c>
      <c r="F193" s="131"/>
      <c r="G193" s="39">
        <f>D193*E193</f>
        <v>0</v>
      </c>
      <c r="H193" s="43"/>
      <c r="I193" s="43"/>
      <c r="J193" s="4"/>
      <c r="K193" s="4"/>
    </row>
    <row r="194" spans="1:11">
      <c r="A194" s="24">
        <f t="shared" si="14"/>
        <v>8</v>
      </c>
      <c r="B194" s="22" t="s">
        <v>797</v>
      </c>
      <c r="C194" s="4" t="s">
        <v>272</v>
      </c>
      <c r="D194" s="877">
        <v>14698454</v>
      </c>
      <c r="E194" s="130">
        <f>+I189</f>
        <v>1</v>
      </c>
      <c r="F194" s="131"/>
      <c r="G194" s="39">
        <f>D194*E194</f>
        <v>14698454</v>
      </c>
      <c r="H194" s="43"/>
      <c r="I194" s="43"/>
      <c r="J194" s="4"/>
      <c r="K194" s="4"/>
    </row>
    <row r="195" spans="1:11">
      <c r="A195" s="24">
        <f t="shared" si="14"/>
        <v>9</v>
      </c>
      <c r="B195" s="22" t="s">
        <v>798</v>
      </c>
      <c r="C195" s="4" t="s">
        <v>95</v>
      </c>
      <c r="D195" s="877">
        <v>98190399</v>
      </c>
      <c r="E195" s="130">
        <v>0</v>
      </c>
      <c r="F195" s="131"/>
      <c r="G195" s="39">
        <f>D195*E195</f>
        <v>0</v>
      </c>
      <c r="H195" s="43"/>
      <c r="I195" s="132" t="s">
        <v>47</v>
      </c>
      <c r="J195" s="4"/>
      <c r="K195" s="4"/>
    </row>
    <row r="196" spans="1:11" ht="13.5" thickBot="1">
      <c r="A196" s="24">
        <f t="shared" si="14"/>
        <v>10</v>
      </c>
      <c r="B196" s="22" t="s">
        <v>799</v>
      </c>
      <c r="C196" s="4" t="s">
        <v>273</v>
      </c>
      <c r="D196" s="880">
        <f>32885851+1450302+458125</f>
        <v>34794278</v>
      </c>
      <c r="E196" s="130">
        <v>0</v>
      </c>
      <c r="F196" s="131"/>
      <c r="G196" s="46">
        <f>D196*E196</f>
        <v>0</v>
      </c>
      <c r="H196" s="43"/>
      <c r="I196" s="133" t="s">
        <v>48</v>
      </c>
      <c r="J196" s="4"/>
      <c r="K196" s="4"/>
    </row>
    <row r="197" spans="1:11">
      <c r="A197" s="24">
        <f t="shared" si="14"/>
        <v>11</v>
      </c>
      <c r="B197" s="22" t="s">
        <v>368</v>
      </c>
      <c r="C197" s="4" t="s">
        <v>234</v>
      </c>
      <c r="D197" s="39">
        <f>SUM(D193:D196)</f>
        <v>147683131</v>
      </c>
      <c r="E197" s="4"/>
      <c r="F197" s="4"/>
      <c r="G197" s="39">
        <f>SUM(G193:G196)</f>
        <v>14698454</v>
      </c>
      <c r="H197" s="134" t="s">
        <v>49</v>
      </c>
      <c r="I197" s="42">
        <f>IF(G197&gt;0,G197/D197,0)</f>
        <v>9.9526966285675506E-2</v>
      </c>
      <c r="J197" s="27" t="s">
        <v>49</v>
      </c>
      <c r="K197" s="4" t="s">
        <v>50</v>
      </c>
    </row>
    <row r="198" spans="1:11">
      <c r="A198" s="24"/>
      <c r="B198" s="22" t="s">
        <v>2</v>
      </c>
      <c r="C198" s="4" t="s">
        <v>2</v>
      </c>
      <c r="D198" s="3"/>
      <c r="E198" s="4"/>
      <c r="F198" s="4"/>
      <c r="G198" s="3"/>
      <c r="H198" s="3"/>
      <c r="I198" s="3"/>
      <c r="J198" s="3"/>
      <c r="K198" s="4"/>
    </row>
    <row r="200" spans="1:11" ht="13.5" thickBot="1">
      <c r="A200" s="24">
        <f>A197+1</f>
        <v>12</v>
      </c>
      <c r="B200" s="22" t="s">
        <v>51</v>
      </c>
      <c r="C200" s="4" t="s">
        <v>250</v>
      </c>
      <c r="D200" s="4"/>
      <c r="E200" s="4"/>
      <c r="F200" s="4"/>
      <c r="G200" s="4"/>
      <c r="H200" s="4"/>
      <c r="I200" s="129" t="s">
        <v>44</v>
      </c>
      <c r="J200" s="4"/>
      <c r="K200" s="4"/>
    </row>
    <row r="201" spans="1:11">
      <c r="A201" s="24">
        <f t="shared" ref="A201:A206" si="15">+A200+1</f>
        <v>13</v>
      </c>
      <c r="B201" s="22"/>
      <c r="C201" s="4"/>
      <c r="D201" s="4"/>
      <c r="E201" s="4"/>
      <c r="F201" s="4"/>
      <c r="G201" s="27" t="s">
        <v>52</v>
      </c>
      <c r="H201" s="4"/>
      <c r="I201" s="4"/>
      <c r="J201" s="4"/>
      <c r="K201" s="4"/>
    </row>
    <row r="202" spans="1:11" ht="13.5" thickBot="1">
      <c r="A202" s="24">
        <f t="shared" si="15"/>
        <v>14</v>
      </c>
      <c r="B202" s="22"/>
      <c r="C202" s="4"/>
      <c r="D202" s="35" t="s">
        <v>44</v>
      </c>
      <c r="E202" s="35" t="s">
        <v>53</v>
      </c>
      <c r="F202" s="4"/>
      <c r="G202" s="122" t="str">
        <f>"(Notes "&amp;A239&amp;", "&amp;A245&amp;", &amp; "&amp;A246&amp;")"</f>
        <v>(Notes K, Q, &amp; R)</v>
      </c>
      <c r="H202" s="4"/>
      <c r="I202" s="35" t="s">
        <v>54</v>
      </c>
      <c r="J202" s="4"/>
      <c r="K202" s="4"/>
    </row>
    <row r="203" spans="1:11">
      <c r="A203" s="24">
        <f t="shared" si="15"/>
        <v>15</v>
      </c>
      <c r="B203" s="22" t="s">
        <v>235</v>
      </c>
      <c r="C203" s="3" t="s">
        <v>763</v>
      </c>
      <c r="D203" s="33">
        <f>+'5-P3 Support'!F42</f>
        <v>4295957070.5384617</v>
      </c>
      <c r="E203" s="82">
        <f>+'5-P3 Support'!G42</f>
        <v>0.46705476368725796</v>
      </c>
      <c r="F203" s="41"/>
      <c r="G203" s="84">
        <f>+'5-P3 Support'!I42</f>
        <v>3.8284309624021767E-2</v>
      </c>
      <c r="H203" s="42"/>
      <c r="I203" s="82">
        <f>+'5-P3 Support'!K42</f>
        <v>1.7880869184377302E-2</v>
      </c>
      <c r="J203" s="104" t="s">
        <v>55</v>
      </c>
      <c r="K203" s="3"/>
    </row>
    <row r="204" spans="1:11">
      <c r="A204" s="24">
        <f t="shared" si="15"/>
        <v>16</v>
      </c>
      <c r="B204" s="22" t="s">
        <v>112</v>
      </c>
      <c r="C204" s="3" t="s">
        <v>764</v>
      </c>
      <c r="D204" s="33">
        <f>+'5-P3 Support'!F43</f>
        <v>0</v>
      </c>
      <c r="E204" s="82">
        <f>+'5-P3 Support'!G43</f>
        <v>0</v>
      </c>
      <c r="F204" s="41"/>
      <c r="G204" s="84">
        <f>+'5-P3 Support'!I43</f>
        <v>0</v>
      </c>
      <c r="H204" s="42"/>
      <c r="I204" s="82">
        <f>+'5-P3 Support'!K43</f>
        <v>0</v>
      </c>
      <c r="J204" s="4"/>
      <c r="K204" s="3"/>
    </row>
    <row r="205" spans="1:11" ht="13.5" thickBot="1">
      <c r="A205" s="24">
        <f t="shared" si="15"/>
        <v>17</v>
      </c>
      <c r="B205" s="22" t="s">
        <v>279</v>
      </c>
      <c r="C205" s="3" t="s">
        <v>765</v>
      </c>
      <c r="D205" s="36">
        <f>+'5-P3 Support'!F44</f>
        <v>4902015853.7138519</v>
      </c>
      <c r="E205" s="135">
        <f>+'5-P3 Support'!G44</f>
        <v>0.53294523631274204</v>
      </c>
      <c r="F205" s="136"/>
      <c r="G205" s="84">
        <f>+'5-P3 Support'!I44</f>
        <v>0.10349999999999999</v>
      </c>
      <c r="H205" s="42"/>
      <c r="I205" s="135">
        <f>+'5-P3 Support'!K44</f>
        <v>5.51598319583688E-2</v>
      </c>
      <c r="J205" s="4"/>
      <c r="K205" s="3"/>
    </row>
    <row r="206" spans="1:11">
      <c r="A206" s="24">
        <f t="shared" si="15"/>
        <v>18</v>
      </c>
      <c r="B206" s="22" t="s">
        <v>227</v>
      </c>
      <c r="C206" s="3" t="s">
        <v>1039</v>
      </c>
      <c r="D206" s="33">
        <f>+'5-P3 Support'!F45</f>
        <v>9197972924.2523136</v>
      </c>
      <c r="E206" s="4" t="s">
        <v>2</v>
      </c>
      <c r="F206" s="4"/>
      <c r="G206" s="42"/>
      <c r="H206" s="42"/>
      <c r="I206" s="82">
        <f>+'5-P3 Support'!K45</f>
        <v>7.3040701142746106E-2</v>
      </c>
      <c r="J206" s="104" t="s">
        <v>56</v>
      </c>
      <c r="K206" s="3"/>
    </row>
    <row r="212" spans="1:11">
      <c r="A212" s="24"/>
      <c r="B212" s="23"/>
      <c r="C212" s="24"/>
      <c r="D212" s="4"/>
      <c r="E212" s="4"/>
      <c r="F212" s="4"/>
      <c r="G212" s="4"/>
      <c r="H212" s="25"/>
      <c r="I212" s="5"/>
      <c r="J212" s="4"/>
      <c r="K212" s="4"/>
    </row>
    <row r="213" spans="1:11">
      <c r="A213" s="24"/>
      <c r="B213" s="23"/>
      <c r="C213" s="24"/>
      <c r="D213" s="4"/>
      <c r="E213" s="4"/>
      <c r="F213" s="4"/>
      <c r="G213" s="4"/>
      <c r="H213" s="25"/>
      <c r="I213" s="5"/>
      <c r="J213" s="4"/>
      <c r="K213" s="4"/>
    </row>
    <row r="214" spans="1:11">
      <c r="A214" s="24"/>
      <c r="B214" s="22"/>
      <c r="C214" s="25"/>
      <c r="D214" s="4"/>
      <c r="E214" s="4"/>
      <c r="F214" s="4"/>
      <c r="G214" s="4"/>
      <c r="H214" s="25"/>
      <c r="I214" s="4"/>
      <c r="J214" s="25"/>
      <c r="K214" s="102" t="s">
        <v>113</v>
      </c>
    </row>
    <row r="215" spans="1:11">
      <c r="A215" s="24"/>
      <c r="B215" s="22"/>
      <c r="C215" s="25"/>
      <c r="D215" s="4"/>
      <c r="E215" s="4"/>
      <c r="F215" s="4"/>
      <c r="G215" s="4"/>
      <c r="H215" s="25"/>
      <c r="I215" s="4"/>
      <c r="J215" s="25"/>
      <c r="K215" s="4"/>
    </row>
    <row r="216" spans="1:11">
      <c r="A216" s="24"/>
      <c r="B216" s="23" t="s">
        <v>1</v>
      </c>
      <c r="C216" s="24"/>
      <c r="D216" s="27" t="s">
        <v>72</v>
      </c>
      <c r="E216" s="4"/>
      <c r="F216" s="4"/>
      <c r="G216" s="4"/>
      <c r="H216" s="25"/>
      <c r="I216" s="18"/>
      <c r="J216" s="3"/>
      <c r="K216" s="137" t="str">
        <f>K3</f>
        <v>For  the 12 months ended 12/31/2022</v>
      </c>
    </row>
    <row r="217" spans="1:11">
      <c r="A217" s="24"/>
      <c r="B217" s="23"/>
      <c r="C217" s="24"/>
      <c r="D217" s="27" t="s">
        <v>98</v>
      </c>
      <c r="E217" s="4"/>
      <c r="F217" s="4"/>
      <c r="G217" s="4"/>
      <c r="H217" s="25"/>
      <c r="I217" s="72"/>
      <c r="J217" s="3"/>
      <c r="K217" s="4"/>
    </row>
    <row r="218" spans="1:11">
      <c r="A218" s="24"/>
      <c r="B218" s="23"/>
      <c r="C218" s="24"/>
      <c r="D218" s="27" t="str">
        <f>+D177</f>
        <v>PECO Energy Company</v>
      </c>
      <c r="E218" s="4"/>
      <c r="F218" s="4"/>
      <c r="G218" s="4"/>
      <c r="H218" s="25"/>
      <c r="I218" s="72"/>
      <c r="J218" s="3"/>
      <c r="K218" s="4"/>
    </row>
    <row r="219" spans="1:11">
      <c r="A219" s="1103"/>
      <c r="B219" s="1103"/>
      <c r="C219" s="1103"/>
      <c r="D219" s="1103"/>
      <c r="E219" s="1103"/>
      <c r="F219" s="1103"/>
      <c r="G219" s="1103"/>
      <c r="H219" s="1103"/>
      <c r="I219" s="1103"/>
      <c r="J219" s="1103"/>
      <c r="K219" s="1103"/>
    </row>
    <row r="220" spans="1:11">
      <c r="A220" s="24"/>
      <c r="B220" s="23"/>
      <c r="C220" s="24"/>
      <c r="D220" s="4"/>
      <c r="E220" s="4"/>
      <c r="F220" s="4"/>
      <c r="G220" s="4"/>
      <c r="H220" s="25"/>
      <c r="I220" s="72"/>
      <c r="J220" s="3"/>
      <c r="K220" s="4"/>
    </row>
    <row r="221" spans="1:11">
      <c r="A221" s="24"/>
      <c r="B221" s="22" t="s">
        <v>57</v>
      </c>
      <c r="C221" s="24"/>
      <c r="D221" s="4"/>
      <c r="E221" s="4"/>
      <c r="F221" s="4"/>
      <c r="G221" s="4"/>
      <c r="H221" s="25"/>
      <c r="I221" s="4"/>
      <c r="J221" s="25"/>
      <c r="K221" s="4"/>
    </row>
    <row r="222" spans="1:11">
      <c r="A222" s="24"/>
      <c r="B222" s="22" t="s">
        <v>1204</v>
      </c>
      <c r="C222" s="24"/>
      <c r="D222" s="4"/>
      <c r="E222" s="4"/>
      <c r="F222" s="4"/>
      <c r="G222" s="4"/>
      <c r="H222" s="25"/>
      <c r="I222" s="4"/>
      <c r="J222" s="25"/>
      <c r="K222" s="4"/>
    </row>
    <row r="223" spans="1:11">
      <c r="A223" s="24"/>
      <c r="B223" s="22"/>
      <c r="C223" s="25"/>
      <c r="D223" s="4"/>
      <c r="E223" s="4"/>
      <c r="F223" s="4"/>
      <c r="G223" s="4"/>
      <c r="H223" s="25"/>
      <c r="I223" s="4"/>
      <c r="J223" s="25"/>
      <c r="K223" s="4"/>
    </row>
    <row r="224" spans="1:11" ht="13.5" thickBot="1">
      <c r="A224" s="35" t="s">
        <v>182</v>
      </c>
      <c r="B224" s="1104"/>
      <c r="C224" s="1104"/>
      <c r="D224" s="138"/>
      <c r="E224" s="138"/>
      <c r="F224" s="138"/>
      <c r="G224" s="138"/>
      <c r="H224" s="139"/>
      <c r="I224" s="138"/>
      <c r="J224" s="139"/>
      <c r="K224" s="138"/>
    </row>
    <row r="225" spans="1:11">
      <c r="A225" s="139" t="s">
        <v>183</v>
      </c>
      <c r="B225" s="1098" t="s">
        <v>369</v>
      </c>
      <c r="C225" s="1098"/>
      <c r="D225" s="1098"/>
      <c r="E225" s="1098"/>
      <c r="F225" s="1098"/>
      <c r="G225" s="1098"/>
      <c r="H225" s="1098"/>
      <c r="I225" s="1098"/>
      <c r="J225" s="1098"/>
      <c r="K225" s="1098"/>
    </row>
    <row r="226" spans="1:11" ht="29.25" customHeight="1">
      <c r="A226" s="139" t="s">
        <v>184</v>
      </c>
      <c r="B226" s="1098" t="s">
        <v>355</v>
      </c>
      <c r="C226" s="1098"/>
      <c r="D226" s="1098"/>
      <c r="E226" s="1098"/>
      <c r="F226" s="1098"/>
      <c r="G226" s="1098"/>
      <c r="H226" s="1098"/>
      <c r="I226" s="1098"/>
      <c r="J226" s="1098"/>
      <c r="K226" s="1098"/>
    </row>
    <row r="227" spans="1:11">
      <c r="A227" s="139" t="s">
        <v>60</v>
      </c>
      <c r="B227" s="1099" t="s">
        <v>369</v>
      </c>
      <c r="C227" s="1100"/>
      <c r="D227" s="1100"/>
      <c r="E227" s="1100"/>
      <c r="F227" s="1100"/>
      <c r="G227" s="1100"/>
      <c r="H227" s="1100"/>
      <c r="I227" s="1100"/>
      <c r="J227" s="1100"/>
      <c r="K227" s="1100"/>
    </row>
    <row r="228" spans="1:11" ht="17.5" customHeight="1">
      <c r="A228" s="139" t="s">
        <v>61</v>
      </c>
      <c r="B228" s="1098" t="s">
        <v>1267</v>
      </c>
      <c r="C228" s="1098"/>
      <c r="D228" s="1098"/>
      <c r="E228" s="1098"/>
      <c r="F228" s="1098"/>
      <c r="G228" s="1098"/>
      <c r="H228" s="1098"/>
      <c r="I228" s="1098"/>
      <c r="J228" s="1098"/>
      <c r="K228" s="1098"/>
    </row>
    <row r="229" spans="1:11" ht="74.5" customHeight="1">
      <c r="A229" s="139" t="s">
        <v>62</v>
      </c>
      <c r="B229" s="1098" t="s">
        <v>1321</v>
      </c>
      <c r="C229" s="1098"/>
      <c r="D229" s="1098"/>
      <c r="E229" s="1098"/>
      <c r="F229" s="1098"/>
      <c r="G229" s="1098"/>
      <c r="H229" s="1098"/>
      <c r="I229" s="1098"/>
      <c r="J229" s="1098"/>
      <c r="K229" s="1098"/>
    </row>
    <row r="230" spans="1:11" ht="30" customHeight="1">
      <c r="A230" s="139" t="s">
        <v>63</v>
      </c>
      <c r="B230" s="1098" t="s">
        <v>114</v>
      </c>
      <c r="C230" s="1098"/>
      <c r="D230" s="1098"/>
      <c r="E230" s="1098"/>
      <c r="F230" s="1098"/>
      <c r="G230" s="1098"/>
      <c r="H230" s="1098"/>
      <c r="I230" s="1098"/>
      <c r="J230" s="1098"/>
      <c r="K230" s="1098"/>
    </row>
    <row r="231" spans="1:11" ht="45.75" customHeight="1">
      <c r="A231" s="139" t="s">
        <v>64</v>
      </c>
      <c r="B231" s="1098" t="s">
        <v>430</v>
      </c>
      <c r="C231" s="1098"/>
      <c r="D231" s="1098"/>
      <c r="E231" s="1098"/>
      <c r="F231" s="1098"/>
      <c r="G231" s="1098"/>
      <c r="H231" s="1098"/>
      <c r="I231" s="1098"/>
      <c r="J231" s="1098"/>
      <c r="K231" s="1098"/>
    </row>
    <row r="232" spans="1:11">
      <c r="A232" s="139"/>
      <c r="B232" s="140" t="s">
        <v>68</v>
      </c>
      <c r="C232" s="140" t="s">
        <v>69</v>
      </c>
      <c r="D232" s="1065">
        <v>0.21</v>
      </c>
      <c r="E232" s="140"/>
      <c r="F232" s="140"/>
      <c r="G232" s="140"/>
      <c r="H232" s="140"/>
      <c r="I232" s="140"/>
      <c r="J232" s="140"/>
      <c r="K232" s="140"/>
    </row>
    <row r="233" spans="1:11">
      <c r="A233" s="139"/>
      <c r="B233" s="140"/>
      <c r="C233" s="140" t="s">
        <v>70</v>
      </c>
      <c r="D233" s="1066">
        <v>9.9900000000000003E-2</v>
      </c>
      <c r="E233" s="140" t="s">
        <v>115</v>
      </c>
      <c r="F233" s="140"/>
      <c r="G233" s="140"/>
      <c r="H233" s="140"/>
      <c r="I233" s="140"/>
      <c r="J233" s="140"/>
      <c r="K233" s="140"/>
    </row>
    <row r="234" spans="1:11">
      <c r="A234" s="139"/>
      <c r="B234" s="140"/>
      <c r="C234" s="140" t="s">
        <v>71</v>
      </c>
      <c r="D234" s="141">
        <v>0</v>
      </c>
      <c r="E234" s="140" t="s">
        <v>116</v>
      </c>
      <c r="F234" s="140"/>
      <c r="G234" s="140"/>
      <c r="H234" s="140"/>
      <c r="I234" s="140"/>
      <c r="J234" s="140"/>
      <c r="K234" s="140"/>
    </row>
    <row r="235" spans="1:11">
      <c r="A235" s="139"/>
      <c r="B235" s="140"/>
      <c r="C235" s="140"/>
      <c r="D235" s="142"/>
      <c r="E235" s="140"/>
      <c r="F235" s="140"/>
      <c r="G235" s="140"/>
      <c r="H235" s="140"/>
      <c r="I235" s="140"/>
      <c r="J235" s="140"/>
      <c r="K235" s="140"/>
    </row>
    <row r="236" spans="1:11" ht="19.5" customHeight="1">
      <c r="A236" s="139" t="s">
        <v>65</v>
      </c>
      <c r="B236" s="1098" t="s">
        <v>118</v>
      </c>
      <c r="C236" s="1098"/>
      <c r="D236" s="1098"/>
      <c r="E236" s="1098"/>
      <c r="F236" s="1098"/>
      <c r="G236" s="1098"/>
      <c r="H236" s="1098"/>
      <c r="I236" s="1098"/>
      <c r="J236" s="1098"/>
      <c r="K236" s="1098"/>
    </row>
    <row r="237" spans="1:11" ht="31.5" customHeight="1">
      <c r="A237" s="139" t="s">
        <v>66</v>
      </c>
      <c r="B237" s="1098" t="s">
        <v>119</v>
      </c>
      <c r="C237" s="1098"/>
      <c r="D237" s="1098"/>
      <c r="E237" s="1098"/>
      <c r="F237" s="1098"/>
      <c r="G237" s="1098"/>
      <c r="H237" s="1098"/>
      <c r="I237" s="1098"/>
      <c r="J237" s="1098"/>
      <c r="K237" s="1098"/>
    </row>
    <row r="238" spans="1:11">
      <c r="A238" s="139" t="s">
        <v>67</v>
      </c>
      <c r="B238" s="1099" t="s">
        <v>369</v>
      </c>
      <c r="C238" s="1100"/>
      <c r="D238" s="1100"/>
      <c r="E238" s="1100"/>
      <c r="F238" s="1100"/>
      <c r="G238" s="1100"/>
      <c r="H238" s="1100"/>
      <c r="I238" s="1100"/>
      <c r="J238" s="1100"/>
      <c r="K238" s="1100"/>
    </row>
    <row r="239" spans="1:11" ht="29.15" customHeight="1">
      <c r="A239" s="139" t="s">
        <v>99</v>
      </c>
      <c r="B239" s="1098" t="s">
        <v>1315</v>
      </c>
      <c r="C239" s="1098"/>
      <c r="D239" s="1098"/>
      <c r="E239" s="1098"/>
      <c r="F239" s="1098"/>
      <c r="G239" s="1098"/>
      <c r="H239" s="1098"/>
      <c r="I239" s="1098"/>
      <c r="J239" s="1098"/>
      <c r="K239" s="1098"/>
    </row>
    <row r="240" spans="1:11">
      <c r="A240" s="139" t="s">
        <v>185</v>
      </c>
      <c r="B240" s="1098" t="s">
        <v>369</v>
      </c>
      <c r="C240" s="1098"/>
      <c r="D240" s="1098"/>
      <c r="E240" s="1098"/>
      <c r="F240" s="1098"/>
      <c r="G240" s="1098"/>
      <c r="H240" s="1098"/>
      <c r="I240" s="1098"/>
      <c r="J240" s="1098"/>
      <c r="K240" s="1098"/>
    </row>
    <row r="241" spans="1:11">
      <c r="A241" s="139" t="s">
        <v>117</v>
      </c>
      <c r="B241" s="143" t="s">
        <v>369</v>
      </c>
      <c r="C241" s="144"/>
      <c r="D241" s="144"/>
      <c r="E241" s="144"/>
      <c r="F241" s="144"/>
      <c r="G241" s="144"/>
      <c r="H241" s="144"/>
      <c r="I241" s="144"/>
      <c r="J241" s="144"/>
      <c r="K241" s="144"/>
    </row>
    <row r="242" spans="1:11">
      <c r="A242" s="139" t="s">
        <v>186</v>
      </c>
      <c r="B242" s="1101" t="s">
        <v>1405</v>
      </c>
      <c r="C242" s="1101"/>
      <c r="D242" s="1101"/>
      <c r="E242" s="1101"/>
      <c r="F242" s="1101"/>
      <c r="G242" s="1101"/>
      <c r="H242" s="1101"/>
      <c r="I242" s="1101"/>
      <c r="J242" s="1101"/>
      <c r="K242" s="1101"/>
    </row>
    <row r="243" spans="1:11" ht="28.4" customHeight="1">
      <c r="A243" s="139" t="s">
        <v>120</v>
      </c>
      <c r="B243" s="1101" t="s">
        <v>1403</v>
      </c>
      <c r="C243" s="1101"/>
      <c r="D243" s="1101"/>
      <c r="E243" s="1101"/>
      <c r="F243" s="1101"/>
      <c r="G243" s="1101"/>
      <c r="H243" s="1101"/>
      <c r="I243" s="1101"/>
      <c r="J243" s="1101"/>
      <c r="K243" s="1101"/>
    </row>
    <row r="244" spans="1:11" ht="13.4" customHeight="1">
      <c r="A244" s="139" t="s">
        <v>121</v>
      </c>
      <c r="B244" s="1101" t="s">
        <v>1404</v>
      </c>
      <c r="C244" s="1101"/>
      <c r="D244" s="1101"/>
      <c r="E244" s="1101"/>
      <c r="F244" s="1101"/>
      <c r="G244" s="1101"/>
      <c r="H244" s="1101"/>
      <c r="I244" s="1101"/>
      <c r="J244" s="1101"/>
      <c r="K244" s="1101"/>
    </row>
    <row r="245" spans="1:11">
      <c r="A245" s="139" t="s">
        <v>122</v>
      </c>
      <c r="B245" s="1101" t="s">
        <v>1141</v>
      </c>
      <c r="C245" s="1101"/>
      <c r="D245" s="1101"/>
      <c r="E245" s="1101"/>
      <c r="F245" s="1101"/>
      <c r="G245" s="1101"/>
      <c r="H245" s="1101"/>
      <c r="I245" s="1101"/>
      <c r="J245" s="1101"/>
      <c r="K245" s="1101"/>
    </row>
    <row r="246" spans="1:11">
      <c r="A246" s="139" t="s">
        <v>123</v>
      </c>
      <c r="B246" s="1097" t="s">
        <v>1205</v>
      </c>
      <c r="C246" s="1097"/>
      <c r="D246" s="1097"/>
      <c r="E246" s="1097"/>
      <c r="F246" s="1097"/>
      <c r="G246" s="1097"/>
      <c r="H246" s="1097"/>
      <c r="I246" s="1097"/>
      <c r="J246" s="1097"/>
      <c r="K246" s="1097"/>
    </row>
    <row r="247" spans="1:11">
      <c r="A247" s="139" t="s">
        <v>124</v>
      </c>
      <c r="B247" s="1106" t="s">
        <v>1326</v>
      </c>
      <c r="C247" s="1106"/>
      <c r="D247" s="1106"/>
      <c r="E247" s="1106"/>
      <c r="F247" s="1106"/>
      <c r="G247" s="1106"/>
      <c r="H247" s="1106"/>
      <c r="I247" s="1106"/>
      <c r="J247" s="1106"/>
      <c r="K247" s="1106"/>
    </row>
    <row r="248" spans="1:11" s="126" customFormat="1" ht="26.15" customHeight="1">
      <c r="A248" s="139" t="s">
        <v>125</v>
      </c>
      <c r="B248" s="1105" t="s">
        <v>1316</v>
      </c>
      <c r="C248" s="1105"/>
      <c r="D248" s="1105"/>
      <c r="E248" s="1105"/>
      <c r="F248" s="1105"/>
      <c r="G248" s="1105"/>
      <c r="H248" s="1105"/>
      <c r="I248" s="1105"/>
      <c r="J248" s="1105"/>
      <c r="K248" s="1105"/>
    </row>
    <row r="249" spans="1:11" s="126" customFormat="1">
      <c r="A249" s="139" t="s">
        <v>214</v>
      </c>
      <c r="B249" s="145" t="s">
        <v>298</v>
      </c>
      <c r="C249" s="145"/>
      <c r="D249" s="145"/>
      <c r="E249" s="145"/>
      <c r="F249" s="145"/>
      <c r="G249" s="145"/>
      <c r="H249" s="140"/>
      <c r="I249" s="9"/>
      <c r="J249" s="10"/>
      <c r="K249" s="10"/>
    </row>
    <row r="250" spans="1:11" s="126" customFormat="1">
      <c r="A250" s="139" t="s">
        <v>249</v>
      </c>
      <c r="B250" s="146" t="s">
        <v>1317</v>
      </c>
      <c r="C250" s="146"/>
      <c r="D250" s="146"/>
      <c r="E250" s="146"/>
      <c r="F250" s="146"/>
      <c r="G250" s="146"/>
      <c r="H250" s="146"/>
      <c r="I250" s="146"/>
      <c r="J250" s="146"/>
      <c r="K250" s="146"/>
    </row>
    <row r="251" spans="1:11" ht="45" customHeight="1">
      <c r="A251" s="139" t="s">
        <v>286</v>
      </c>
      <c r="B251" s="1098" t="s">
        <v>1164</v>
      </c>
      <c r="C251" s="1098"/>
      <c r="D251" s="1098"/>
      <c r="E251" s="1098"/>
      <c r="F251" s="1098"/>
      <c r="G251" s="1098"/>
      <c r="H251" s="1098"/>
      <c r="I251" s="1098"/>
      <c r="J251" s="1098"/>
      <c r="K251" s="1098"/>
    </row>
    <row r="252" spans="1:11">
      <c r="A252" s="139" t="s">
        <v>323</v>
      </c>
      <c r="B252" s="21" t="s">
        <v>769</v>
      </c>
    </row>
    <row r="253" spans="1:11">
      <c r="A253" s="139" t="s">
        <v>437</v>
      </c>
      <c r="B253" s="147" t="s">
        <v>772</v>
      </c>
    </row>
    <row r="254" spans="1:11">
      <c r="B254" s="147" t="s">
        <v>436</v>
      </c>
    </row>
    <row r="255" spans="1:11">
      <c r="A255" s="21" t="s">
        <v>1129</v>
      </c>
      <c r="B255" s="147" t="s">
        <v>1168</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5">
    <mergeCell ref="B251:K251"/>
    <mergeCell ref="B245:K245"/>
    <mergeCell ref="A40:K40"/>
    <mergeCell ref="A109:K109"/>
    <mergeCell ref="A178:K178"/>
    <mergeCell ref="B230:K230"/>
    <mergeCell ref="A219:K219"/>
    <mergeCell ref="B224:C224"/>
    <mergeCell ref="B225:K225"/>
    <mergeCell ref="B226:K226"/>
    <mergeCell ref="B227:K227"/>
    <mergeCell ref="B228:K228"/>
    <mergeCell ref="B229:K229"/>
    <mergeCell ref="B248:K248"/>
    <mergeCell ref="B240:K240"/>
    <mergeCell ref="B247:K247"/>
    <mergeCell ref="B246:K246"/>
    <mergeCell ref="B231:K231"/>
    <mergeCell ref="B236:K236"/>
    <mergeCell ref="B237:K237"/>
    <mergeCell ref="B238:K238"/>
    <mergeCell ref="B239:K239"/>
    <mergeCell ref="B242:K242"/>
    <mergeCell ref="B243:K243"/>
    <mergeCell ref="B244:K244"/>
  </mergeCells>
  <phoneticPr fontId="0" type="noConversion"/>
  <pageMargins left="0.25" right="0.25" top="0.75" bottom="0.75" header="0.3" footer="0.3"/>
  <pageSetup scale="47" fitToHeight="0" orientation="landscape" r:id="rId2"/>
  <rowBreaks count="4" manualBreakCount="4">
    <brk id="33" max="10" man="1"/>
    <brk id="103" max="16383" man="1"/>
    <brk id="171" max="10" man="1"/>
    <brk id="212"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A09B4-C52D-4827-9619-732EF8D637EE}">
  <sheetPr>
    <pageSetUpPr fitToPage="1"/>
  </sheetPr>
  <dimension ref="A1:FF365"/>
  <sheetViews>
    <sheetView view="pageBreakPreview" topLeftCell="A82" zoomScale="60" zoomScaleNormal="70" workbookViewId="0">
      <selection activeCell="J47" sqref="J47"/>
    </sheetView>
  </sheetViews>
  <sheetFormatPr defaultColWidth="7.07421875" defaultRowHeight="13"/>
  <cols>
    <col min="1" max="1" width="4.4609375" style="998" customWidth="1"/>
    <col min="2" max="2" width="7.3046875" style="1002" customWidth="1"/>
    <col min="3" max="4" width="32.84375" style="1002" bestFit="1" customWidth="1"/>
    <col min="5" max="5" width="16.53515625" style="1002" bestFit="1" customWidth="1"/>
    <col min="6" max="10" width="16.84375" style="998" customWidth="1"/>
    <col min="11" max="11" width="4.07421875" style="998" customWidth="1"/>
    <col min="12" max="16" width="16.84375" style="998" customWidth="1"/>
    <col min="17" max="17" width="2.07421875" style="998" customWidth="1"/>
    <col min="18" max="18" width="16.84375" style="998" customWidth="1"/>
    <col min="19" max="19" width="2.07421875" style="998" customWidth="1"/>
    <col min="20" max="20" width="16.84375" style="998" customWidth="1"/>
    <col min="21" max="21" width="2.07421875" style="998" customWidth="1"/>
    <col min="22" max="22" width="16.84375" style="998" customWidth="1"/>
    <col min="23" max="23" width="2.07421875" style="998" customWidth="1"/>
    <col min="24" max="24" width="16.84375" style="998" customWidth="1"/>
    <col min="25" max="25" width="2.07421875" style="998" customWidth="1"/>
    <col min="26" max="26" width="15" style="1002" bestFit="1" customWidth="1"/>
    <col min="27" max="27" width="2.07421875" style="998" customWidth="1"/>
    <col min="28" max="28" width="10.69140625" style="1002" bestFit="1" customWidth="1"/>
    <col min="29" max="29" width="2.07421875" style="998" customWidth="1"/>
    <col min="30" max="30" width="9" style="998" customWidth="1"/>
    <col min="31" max="31" width="2" style="998" customWidth="1"/>
    <col min="32" max="32" width="15.3046875" style="998" bestFit="1" customWidth="1"/>
    <col min="33" max="33" width="2" style="998" customWidth="1"/>
    <col min="34" max="34" width="6.84375" style="998" bestFit="1" customWidth="1"/>
    <col min="35" max="35" width="2.07421875" style="1002" customWidth="1"/>
    <col min="36" max="36" width="11.53515625" style="998" bestFit="1" customWidth="1"/>
    <col min="37" max="16384" width="7.07421875" style="998"/>
  </cols>
  <sheetData>
    <row r="1" spans="1:162" ht="14">
      <c r="A1" s="997" t="s">
        <v>681</v>
      </c>
      <c r="B1" s="997"/>
      <c r="C1" s="998"/>
      <c r="D1" s="998"/>
      <c r="E1" s="998"/>
      <c r="X1" s="997"/>
      <c r="Z1" s="998"/>
      <c r="AB1" s="998"/>
      <c r="AD1" s="999"/>
      <c r="AH1" s="1000"/>
      <c r="AI1" s="1000"/>
    </row>
    <row r="2" spans="1:162" ht="14">
      <c r="A2" s="997" t="s">
        <v>1627</v>
      </c>
      <c r="B2" s="997"/>
      <c r="C2" s="998"/>
      <c r="D2" s="998"/>
      <c r="E2" s="998"/>
      <c r="X2" s="997"/>
      <c r="Z2" s="998"/>
      <c r="AB2" s="998"/>
      <c r="AH2" s="1000"/>
      <c r="AI2" s="1000"/>
    </row>
    <row r="3" spans="1:162" ht="15.5">
      <c r="A3" s="997" t="s">
        <v>1628</v>
      </c>
      <c r="B3" s="997"/>
      <c r="C3" s="998"/>
      <c r="D3" s="998"/>
      <c r="E3" s="998"/>
      <c r="F3" s="1001"/>
      <c r="Z3" s="998"/>
      <c r="AB3" s="998"/>
      <c r="AH3" s="1000"/>
      <c r="AI3" s="1000"/>
    </row>
    <row r="4" spans="1:162" ht="14">
      <c r="B4" s="997"/>
      <c r="F4" s="1003"/>
      <c r="AH4" s="1000"/>
      <c r="AI4" s="1000"/>
    </row>
    <row r="5" spans="1:162" ht="19">
      <c r="B5" s="1158" t="s">
        <v>1629</v>
      </c>
      <c r="C5" s="1159"/>
      <c r="D5" s="1159"/>
      <c r="E5" s="1159"/>
      <c r="F5" s="1159"/>
      <c r="G5" s="1159"/>
      <c r="H5" s="1159"/>
      <c r="I5" s="1159"/>
      <c r="J5" s="1159"/>
      <c r="K5" s="1159"/>
      <c r="L5" s="1159"/>
      <c r="M5" s="1159"/>
      <c r="N5" s="1159"/>
      <c r="O5" s="1159"/>
      <c r="P5" s="1159"/>
      <c r="Q5" s="1159"/>
      <c r="R5" s="1159"/>
      <c r="S5" s="1159"/>
      <c r="T5" s="1159"/>
      <c r="U5" s="1159"/>
      <c r="V5" s="1159"/>
      <c r="W5" s="1159"/>
      <c r="X5" s="1159"/>
      <c r="Y5" s="1159"/>
      <c r="Z5" s="1159"/>
      <c r="AA5" s="1159"/>
      <c r="AB5" s="1159"/>
      <c r="AC5" s="1159"/>
      <c r="AD5" s="1159"/>
      <c r="AE5" s="1159"/>
      <c r="AF5" s="1159"/>
      <c r="AG5" s="1159"/>
      <c r="AH5" s="1160"/>
      <c r="AI5" s="1000"/>
    </row>
    <row r="6" spans="1:162" ht="14">
      <c r="B6" s="997"/>
      <c r="AH6" s="1000"/>
      <c r="AI6" s="1000"/>
    </row>
    <row r="7" spans="1:162" s="1004" customFormat="1" ht="15.5">
      <c r="B7" s="1005"/>
      <c r="C7" s="1005"/>
      <c r="D7" s="1005"/>
      <c r="E7" s="1005"/>
      <c r="F7" s="1161" t="s">
        <v>1630</v>
      </c>
      <c r="G7" s="1162"/>
      <c r="H7" s="1162"/>
      <c r="I7" s="1162"/>
      <c r="J7" s="1163"/>
      <c r="L7" s="1161" t="s">
        <v>1631</v>
      </c>
      <c r="M7" s="1162"/>
      <c r="N7" s="1162"/>
      <c r="O7" s="1162"/>
      <c r="P7" s="1163"/>
      <c r="R7" s="1161" t="s">
        <v>1632</v>
      </c>
      <c r="S7" s="1162"/>
      <c r="T7" s="1162"/>
      <c r="U7" s="1162"/>
      <c r="V7" s="1162"/>
      <c r="W7" s="1162"/>
      <c r="X7" s="1162"/>
      <c r="Y7" s="1162"/>
      <c r="Z7" s="1162"/>
      <c r="AA7" s="1162"/>
      <c r="AB7" s="1162"/>
      <c r="AC7" s="1162"/>
      <c r="AD7" s="1162"/>
      <c r="AE7" s="1162"/>
      <c r="AF7" s="1163"/>
      <c r="AG7" s="1006"/>
      <c r="AH7" s="1007"/>
      <c r="AI7" s="1007"/>
    </row>
    <row r="8" spans="1:162" s="1008" customFormat="1" ht="61.5" customHeight="1">
      <c r="B8" s="1009" t="s">
        <v>8</v>
      </c>
      <c r="C8" s="1010" t="s">
        <v>1633</v>
      </c>
      <c r="D8" s="1010" t="s">
        <v>1634</v>
      </c>
      <c r="E8" s="1009" t="s">
        <v>1635</v>
      </c>
      <c r="F8" s="1009" t="s">
        <v>1636</v>
      </c>
      <c r="G8" s="1009" t="s">
        <v>1637</v>
      </c>
      <c r="H8" s="1009" t="s">
        <v>1638</v>
      </c>
      <c r="I8" s="1009" t="s">
        <v>1639</v>
      </c>
      <c r="J8" s="1009" t="s">
        <v>1640</v>
      </c>
      <c r="K8" s="1009"/>
      <c r="L8" s="1009" t="s">
        <v>1636</v>
      </c>
      <c r="M8" s="1009" t="s">
        <v>1641</v>
      </c>
      <c r="N8" s="1009" t="s">
        <v>1638</v>
      </c>
      <c r="O8" s="1009" t="s">
        <v>1639</v>
      </c>
      <c r="P8" s="1009" t="s">
        <v>1640</v>
      </c>
      <c r="Q8" s="1009"/>
      <c r="R8" s="1009" t="s">
        <v>1642</v>
      </c>
      <c r="S8" s="1009"/>
      <c r="T8" s="1009" t="s">
        <v>687</v>
      </c>
      <c r="U8" s="1009"/>
      <c r="V8" s="1009" t="s">
        <v>1643</v>
      </c>
      <c r="W8" s="1009"/>
      <c r="X8" s="1009" t="s">
        <v>1644</v>
      </c>
      <c r="Y8" s="1009"/>
      <c r="Z8" s="1009" t="s">
        <v>1645</v>
      </c>
      <c r="AA8" s="1009"/>
      <c r="AB8" s="1009" t="s">
        <v>1646</v>
      </c>
      <c r="AC8" s="1009"/>
      <c r="AD8" s="1009" t="s">
        <v>1647</v>
      </c>
      <c r="AE8" s="1009"/>
      <c r="AF8" s="1009" t="s">
        <v>1648</v>
      </c>
      <c r="AG8" s="1009"/>
      <c r="AH8" s="1009" t="s">
        <v>1649</v>
      </c>
      <c r="AI8" s="998"/>
      <c r="AJ8" s="998"/>
      <c r="AK8" s="998"/>
      <c r="AL8" s="998"/>
      <c r="AM8" s="998"/>
      <c r="AN8" s="998"/>
      <c r="AO8" s="998"/>
      <c r="AP8" s="998"/>
      <c r="AQ8" s="998"/>
      <c r="AR8" s="998"/>
      <c r="AS8" s="998"/>
      <c r="AT8" s="998"/>
      <c r="AU8" s="998"/>
      <c r="AV8" s="998"/>
      <c r="AW8" s="998"/>
      <c r="AX8" s="998"/>
      <c r="AY8" s="998"/>
      <c r="AZ8" s="998"/>
      <c r="BA8" s="998"/>
      <c r="BB8" s="998"/>
      <c r="BC8" s="998"/>
      <c r="BD8" s="998"/>
      <c r="BE8" s="998"/>
      <c r="BF8" s="998"/>
      <c r="BG8" s="998"/>
      <c r="BH8" s="998"/>
      <c r="BI8" s="998"/>
      <c r="BJ8" s="998"/>
      <c r="BK8" s="998"/>
      <c r="BL8" s="998"/>
      <c r="BM8" s="998"/>
      <c r="BN8" s="998"/>
      <c r="BO8" s="998"/>
      <c r="BP8" s="998"/>
      <c r="BQ8" s="998"/>
      <c r="BR8" s="998"/>
      <c r="BS8" s="998"/>
      <c r="BT8" s="998"/>
      <c r="BU8" s="998"/>
      <c r="BV8" s="998"/>
      <c r="BW8" s="998"/>
      <c r="BX8" s="998"/>
      <c r="BY8" s="998"/>
      <c r="BZ8" s="998"/>
      <c r="CA8" s="998"/>
      <c r="CB8" s="998"/>
      <c r="CC8" s="998"/>
      <c r="CD8" s="998"/>
      <c r="CE8" s="998"/>
      <c r="CF8" s="998"/>
      <c r="CG8" s="998"/>
      <c r="CH8" s="998"/>
      <c r="CI8" s="998"/>
      <c r="CJ8" s="998"/>
      <c r="CK8" s="998"/>
      <c r="CL8" s="998"/>
      <c r="CM8" s="998"/>
      <c r="CN8" s="998"/>
      <c r="CO8" s="998"/>
      <c r="CP8" s="998"/>
      <c r="CQ8" s="998"/>
      <c r="CR8" s="998"/>
      <c r="CS8" s="998"/>
      <c r="CT8" s="998"/>
      <c r="CU8" s="998"/>
      <c r="CV8" s="998"/>
      <c r="CW8" s="998"/>
      <c r="CX8" s="998"/>
      <c r="CY8" s="998"/>
      <c r="CZ8" s="998"/>
      <c r="DA8" s="998"/>
      <c r="DB8" s="998"/>
      <c r="DC8" s="998"/>
      <c r="DD8" s="998"/>
      <c r="DE8" s="998"/>
      <c r="DF8" s="998"/>
      <c r="DG8" s="998"/>
      <c r="DH8" s="998"/>
      <c r="DI8" s="998"/>
      <c r="DJ8" s="998"/>
      <c r="DK8" s="998"/>
      <c r="DL8" s="998"/>
      <c r="DM8" s="998"/>
      <c r="DN8" s="998"/>
      <c r="DO8" s="998"/>
      <c r="DP8" s="998"/>
      <c r="DQ8" s="998"/>
      <c r="DR8" s="998"/>
      <c r="DS8" s="998"/>
      <c r="DT8" s="998"/>
      <c r="DU8" s="998"/>
      <c r="DV8" s="998"/>
      <c r="DW8" s="998"/>
      <c r="DX8" s="998"/>
      <c r="DY8" s="998"/>
      <c r="DZ8" s="998"/>
      <c r="EA8" s="998"/>
      <c r="EB8" s="998"/>
      <c r="EC8" s="998"/>
      <c r="ED8" s="998"/>
      <c r="EE8" s="998"/>
      <c r="EF8" s="998"/>
      <c r="EG8" s="998"/>
      <c r="EH8" s="998"/>
      <c r="EI8" s="998"/>
      <c r="EJ8" s="998"/>
      <c r="EK8" s="998"/>
      <c r="EL8" s="998"/>
      <c r="EM8" s="998"/>
      <c r="EN8" s="998"/>
      <c r="EO8" s="998"/>
      <c r="EP8" s="998"/>
      <c r="EQ8" s="998"/>
      <c r="ER8" s="998"/>
      <c r="ES8" s="998"/>
      <c r="ET8" s="998"/>
      <c r="EU8" s="998"/>
      <c r="EV8" s="998"/>
      <c r="EW8" s="998"/>
      <c r="EX8" s="998"/>
      <c r="EY8" s="998"/>
      <c r="EZ8" s="998"/>
      <c r="FA8" s="998"/>
      <c r="FB8" s="998"/>
      <c r="FC8" s="998"/>
      <c r="FD8" s="998"/>
      <c r="FE8" s="998"/>
      <c r="FF8" s="998"/>
    </row>
    <row r="9" spans="1:162" ht="15" customHeight="1">
      <c r="B9" s="1011"/>
      <c r="C9" s="1012" t="s">
        <v>927</v>
      </c>
      <c r="D9" s="1013" t="s">
        <v>928</v>
      </c>
      <c r="E9" s="1013" t="s">
        <v>929</v>
      </c>
      <c r="F9" s="1013" t="s">
        <v>930</v>
      </c>
      <c r="G9" s="1013" t="s">
        <v>1650</v>
      </c>
      <c r="H9" s="1013" t="s">
        <v>932</v>
      </c>
      <c r="I9" s="1013" t="s">
        <v>1651</v>
      </c>
      <c r="J9" s="1013" t="s">
        <v>1652</v>
      </c>
      <c r="K9" s="1014"/>
      <c r="L9" s="1013" t="s">
        <v>935</v>
      </c>
      <c r="M9" s="1013" t="s">
        <v>1653</v>
      </c>
      <c r="N9" s="1013" t="s">
        <v>1654</v>
      </c>
      <c r="O9" s="1013" t="s">
        <v>1655</v>
      </c>
      <c r="P9" s="1013" t="s">
        <v>1656</v>
      </c>
      <c r="Q9" s="1015"/>
      <c r="R9" s="1013" t="s">
        <v>1657</v>
      </c>
      <c r="S9" s="1013"/>
      <c r="T9" s="1013" t="s">
        <v>1658</v>
      </c>
      <c r="U9" s="1013"/>
      <c r="V9" s="1013" t="s">
        <v>1659</v>
      </c>
      <c r="W9" s="1013"/>
      <c r="X9" s="1013" t="s">
        <v>1660</v>
      </c>
      <c r="Y9" s="1013"/>
      <c r="Z9" s="1013" t="s">
        <v>1661</v>
      </c>
      <c r="AA9" s="1013"/>
      <c r="AB9" s="1013" t="s">
        <v>1662</v>
      </c>
      <c r="AC9" s="1013"/>
      <c r="AD9" s="1013" t="s">
        <v>1663</v>
      </c>
      <c r="AE9" s="1013"/>
      <c r="AF9" s="1013" t="s">
        <v>1664</v>
      </c>
      <c r="AG9" s="1013"/>
      <c r="AH9" s="1013" t="s">
        <v>1665</v>
      </c>
      <c r="AI9" s="998"/>
    </row>
    <row r="10" spans="1:162" s="1016" customFormat="1">
      <c r="B10" s="1013"/>
      <c r="C10" s="1017"/>
      <c r="D10" s="1017"/>
      <c r="E10" s="1013"/>
      <c r="F10" s="1013"/>
      <c r="G10" s="1013"/>
      <c r="H10" s="1013"/>
      <c r="I10" s="1013"/>
      <c r="J10" s="1013"/>
      <c r="K10" s="1013"/>
      <c r="L10" s="1013"/>
      <c r="M10" s="1013"/>
      <c r="N10" s="1013"/>
      <c r="O10" s="1013"/>
      <c r="P10" s="1013"/>
      <c r="Q10" s="1013"/>
      <c r="R10" s="1013"/>
      <c r="S10" s="1013"/>
      <c r="T10" s="1013"/>
      <c r="U10" s="1013"/>
      <c r="V10" s="1013"/>
      <c r="W10" s="1013"/>
      <c r="X10" s="1013"/>
      <c r="Y10" s="1013"/>
      <c r="Z10" s="1013"/>
      <c r="AA10" s="1013"/>
      <c r="AB10" s="1013"/>
      <c r="AC10" s="1013"/>
      <c r="AD10" s="1013"/>
      <c r="AE10" s="1013"/>
      <c r="AF10" s="1013"/>
      <c r="AH10" s="1013"/>
    </row>
    <row r="11" spans="1:162" s="1016" customFormat="1">
      <c r="B11" s="1013"/>
      <c r="C11" s="1018" t="s">
        <v>1666</v>
      </c>
      <c r="D11" s="1017"/>
      <c r="E11" s="1013"/>
      <c r="F11" s="1013"/>
      <c r="G11" s="1013"/>
      <c r="H11" s="1013"/>
      <c r="I11" s="1013"/>
      <c r="J11" s="1013"/>
      <c r="K11" s="1013"/>
      <c r="L11" s="1013"/>
      <c r="M11" s="1013"/>
      <c r="N11" s="1013"/>
      <c r="O11" s="1013"/>
      <c r="P11" s="1013"/>
      <c r="Q11" s="1013"/>
      <c r="R11" s="1013"/>
      <c r="S11" s="1013"/>
      <c r="T11" s="1013"/>
      <c r="U11" s="1013"/>
      <c r="V11" s="1013"/>
      <c r="W11" s="1013"/>
      <c r="X11" s="1013"/>
      <c r="Y11" s="1013"/>
      <c r="Z11" s="1013"/>
      <c r="AA11" s="1013"/>
      <c r="AB11" s="1013"/>
      <c r="AC11" s="1013"/>
      <c r="AD11" s="1013"/>
      <c r="AE11" s="1013"/>
      <c r="AF11" s="1013"/>
      <c r="AH11" s="1013"/>
    </row>
    <row r="12" spans="1:162">
      <c r="B12" s="1019">
        <v>1</v>
      </c>
      <c r="C12" s="1020" t="s">
        <v>1667</v>
      </c>
      <c r="D12" s="1020" t="s">
        <v>1667</v>
      </c>
      <c r="E12" s="1021" t="s">
        <v>1668</v>
      </c>
      <c r="F12" s="1022">
        <v>3426731.25</v>
      </c>
      <c r="G12" s="1023">
        <f t="shared" ref="G12:G53" si="0">F12*0.35</f>
        <v>1199355.9375</v>
      </c>
      <c r="H12" s="1022">
        <v>342330.45187500003</v>
      </c>
      <c r="I12" s="1023">
        <f t="shared" ref="I12:I53" si="1">-H12*0.35</f>
        <v>-119815.65815625001</v>
      </c>
      <c r="J12" s="1023">
        <f>G12+I12+H12</f>
        <v>1421870.7312187501</v>
      </c>
      <c r="K12" s="1024"/>
      <c r="L12" s="1022">
        <v>3426731.25</v>
      </c>
      <c r="M12" s="1023">
        <f t="shared" ref="M12:M53" si="2">L12*0.21</f>
        <v>719613.5625</v>
      </c>
      <c r="N12" s="1022">
        <v>342330.45187500003</v>
      </c>
      <c r="O12" s="1023">
        <f t="shared" ref="O12:O53" si="3">-N12*0.21</f>
        <v>-71889.39489375001</v>
      </c>
      <c r="P12" s="1023">
        <f t="shared" ref="P12:P53" si="4">M12+O12+N12</f>
        <v>990054.61948125006</v>
      </c>
      <c r="R12" s="1023">
        <f t="shared" ref="R12:R53" si="5">J12-P12</f>
        <v>431816.11173750006</v>
      </c>
      <c r="S12" s="1024"/>
      <c r="T12" s="1022">
        <v>0</v>
      </c>
      <c r="U12" s="1024"/>
      <c r="V12" s="1022">
        <v>0</v>
      </c>
      <c r="W12" s="1024"/>
      <c r="X12" s="1023">
        <f t="shared" ref="X12:X53" si="6">R12-T12-V12</f>
        <v>431816.11173750006</v>
      </c>
      <c r="Y12" s="1024"/>
      <c r="Z12" s="1025" t="s">
        <v>1669</v>
      </c>
      <c r="AA12" s="1026"/>
      <c r="AB12" s="1025" t="s">
        <v>1670</v>
      </c>
      <c r="AC12" s="1026"/>
      <c r="AD12" s="1027">
        <v>0</v>
      </c>
      <c r="AE12" s="1026"/>
      <c r="AF12" s="1023">
        <f t="shared" ref="AF12:AF53" si="7">X12*AD12</f>
        <v>0</v>
      </c>
      <c r="AG12" s="1026"/>
      <c r="AH12" s="1019">
        <v>190</v>
      </c>
      <c r="AI12" s="1025"/>
    </row>
    <row r="13" spans="1:162">
      <c r="B13" s="1019">
        <f>B12+1</f>
        <v>2</v>
      </c>
      <c r="C13" s="1020" t="s">
        <v>1671</v>
      </c>
      <c r="D13" s="1020" t="s">
        <v>1671</v>
      </c>
      <c r="E13" s="1021" t="s">
        <v>1668</v>
      </c>
      <c r="F13" s="1028">
        <v>7573861</v>
      </c>
      <c r="G13" s="1029">
        <f t="shared" si="0"/>
        <v>2650851.3499999996</v>
      </c>
      <c r="H13" s="1028">
        <v>756628.71389999997</v>
      </c>
      <c r="I13" s="1029">
        <f t="shared" si="1"/>
        <v>-264820.04986499995</v>
      </c>
      <c r="J13" s="1029">
        <f t="shared" ref="J13:J53" si="8">G13+I13+H13</f>
        <v>3142660.0140349995</v>
      </c>
      <c r="K13" s="1030"/>
      <c r="L13" s="1028">
        <v>7573861</v>
      </c>
      <c r="M13" s="1029">
        <f t="shared" si="2"/>
        <v>1590510.81</v>
      </c>
      <c r="N13" s="1028">
        <v>756628.71389999997</v>
      </c>
      <c r="O13" s="1029">
        <f t="shared" si="3"/>
        <v>-158892.02991899999</v>
      </c>
      <c r="P13" s="1029">
        <f t="shared" si="4"/>
        <v>2188247.493981</v>
      </c>
      <c r="Q13" s="1031"/>
      <c r="R13" s="1029">
        <f t="shared" si="5"/>
        <v>954412.5200539995</v>
      </c>
      <c r="S13" s="1030"/>
      <c r="T13" s="1028">
        <v>0</v>
      </c>
      <c r="U13" s="1030"/>
      <c r="V13" s="1028">
        <v>0</v>
      </c>
      <c r="W13" s="1030"/>
      <c r="X13" s="1029">
        <f t="shared" si="6"/>
        <v>954412.5200539995</v>
      </c>
      <c r="Y13" s="1024"/>
      <c r="Z13" s="1025" t="s">
        <v>1672</v>
      </c>
      <c r="AA13" s="1026"/>
      <c r="AB13" s="1025" t="s">
        <v>1673</v>
      </c>
      <c r="AC13" s="1026"/>
      <c r="AD13" s="1027">
        <v>9.6999647998221458E-2</v>
      </c>
      <c r="AE13" s="1026"/>
      <c r="AF13" s="1029">
        <f t="shared" si="7"/>
        <v>92577.678490333434</v>
      </c>
      <c r="AG13" s="1026"/>
      <c r="AH13" s="1019">
        <v>190</v>
      </c>
      <c r="AI13" s="1016"/>
    </row>
    <row r="14" spans="1:162">
      <c r="B14" s="1019">
        <f t="shared" ref="B14:B54" si="9">B13+1</f>
        <v>3</v>
      </c>
      <c r="C14" s="1020" t="s">
        <v>1674</v>
      </c>
      <c r="D14" s="1020" t="s">
        <v>1674</v>
      </c>
      <c r="E14" s="1021" t="s">
        <v>1668</v>
      </c>
      <c r="F14" s="1028">
        <v>5033720</v>
      </c>
      <c r="G14" s="1029">
        <f t="shared" si="0"/>
        <v>1761802</v>
      </c>
      <c r="H14" s="1028">
        <v>502868.62800000003</v>
      </c>
      <c r="I14" s="1029">
        <f t="shared" si="1"/>
        <v>-176004.01980000001</v>
      </c>
      <c r="J14" s="1029">
        <f t="shared" si="8"/>
        <v>2088666.6082000001</v>
      </c>
      <c r="K14" s="1030"/>
      <c r="L14" s="1028">
        <v>5033720</v>
      </c>
      <c r="M14" s="1029">
        <f>L14*0.21</f>
        <v>1057081.2</v>
      </c>
      <c r="N14" s="1028">
        <v>502868.62800000003</v>
      </c>
      <c r="O14" s="1029">
        <f t="shared" si="3"/>
        <v>-105602.41188</v>
      </c>
      <c r="P14" s="1029">
        <f t="shared" si="4"/>
        <v>1454347.41612</v>
      </c>
      <c r="Q14" s="1031"/>
      <c r="R14" s="1029">
        <f t="shared" si="5"/>
        <v>634319.19208000018</v>
      </c>
      <c r="S14" s="1030"/>
      <c r="T14" s="1028">
        <v>0</v>
      </c>
      <c r="U14" s="1030"/>
      <c r="V14" s="1028">
        <v>0</v>
      </c>
      <c r="W14" s="1030"/>
      <c r="X14" s="1029">
        <f t="shared" si="6"/>
        <v>634319.19208000018</v>
      </c>
      <c r="Y14" s="1024"/>
      <c r="Z14" s="1025" t="s">
        <v>1672</v>
      </c>
      <c r="AA14" s="1026"/>
      <c r="AB14" s="1025" t="s">
        <v>1673</v>
      </c>
      <c r="AC14" s="1026"/>
      <c r="AD14" s="1027">
        <v>9.6999647998221458E-2</v>
      </c>
      <c r="AE14" s="1026"/>
      <c r="AF14" s="1029">
        <f t="shared" si="7"/>
        <v>61528.738350276246</v>
      </c>
      <c r="AG14" s="1026"/>
      <c r="AH14" s="1019">
        <v>190</v>
      </c>
      <c r="AI14" s="1025"/>
    </row>
    <row r="15" spans="1:162">
      <c r="B15" s="1019">
        <f t="shared" si="9"/>
        <v>4</v>
      </c>
      <c r="C15" s="1020" t="s">
        <v>1675</v>
      </c>
      <c r="D15" s="1020" t="s">
        <v>1675</v>
      </c>
      <c r="E15" s="1021" t="s">
        <v>1668</v>
      </c>
      <c r="F15" s="1028">
        <v>0</v>
      </c>
      <c r="G15" s="1029">
        <f t="shared" si="0"/>
        <v>0</v>
      </c>
      <c r="H15" s="1028">
        <v>0</v>
      </c>
      <c r="I15" s="1029">
        <f t="shared" si="1"/>
        <v>0</v>
      </c>
      <c r="J15" s="1029">
        <f t="shared" si="8"/>
        <v>0</v>
      </c>
      <c r="K15" s="1030"/>
      <c r="L15" s="1028">
        <v>0</v>
      </c>
      <c r="M15" s="1029">
        <f t="shared" si="2"/>
        <v>0</v>
      </c>
      <c r="N15" s="1028">
        <v>0</v>
      </c>
      <c r="O15" s="1029">
        <f t="shared" si="3"/>
        <v>0</v>
      </c>
      <c r="P15" s="1029">
        <f t="shared" si="4"/>
        <v>0</v>
      </c>
      <c r="Q15" s="1031"/>
      <c r="R15" s="1029">
        <f t="shared" si="5"/>
        <v>0</v>
      </c>
      <c r="S15" s="1030"/>
      <c r="T15" s="1028">
        <v>0</v>
      </c>
      <c r="U15" s="1030"/>
      <c r="V15" s="1028">
        <v>0</v>
      </c>
      <c r="W15" s="1030"/>
      <c r="X15" s="1029">
        <f t="shared" si="6"/>
        <v>0</v>
      </c>
      <c r="Y15" s="1024"/>
      <c r="Z15" s="1025" t="s">
        <v>974</v>
      </c>
      <c r="AA15" s="1026"/>
      <c r="AB15" s="1025" t="s">
        <v>1670</v>
      </c>
      <c r="AC15" s="1026"/>
      <c r="AD15" s="1027">
        <v>0</v>
      </c>
      <c r="AE15" s="1026"/>
      <c r="AF15" s="1029">
        <f t="shared" si="7"/>
        <v>0</v>
      </c>
      <c r="AG15" s="1026"/>
      <c r="AH15" s="1019">
        <v>190</v>
      </c>
      <c r="AI15" s="1025"/>
    </row>
    <row r="16" spans="1:162">
      <c r="B16" s="1019">
        <f t="shared" si="9"/>
        <v>5</v>
      </c>
      <c r="C16" s="1020" t="s">
        <v>1676</v>
      </c>
      <c r="D16" s="1020" t="s">
        <v>1676</v>
      </c>
      <c r="E16" s="1021" t="s">
        <v>1668</v>
      </c>
      <c r="F16" s="1028">
        <v>55580528.289999999</v>
      </c>
      <c r="G16" s="1029">
        <f t="shared" si="0"/>
        <v>19453184.901499998</v>
      </c>
      <c r="H16" s="1028">
        <v>5552494.7761709997</v>
      </c>
      <c r="I16" s="1029">
        <f t="shared" si="1"/>
        <v>-1943373.1716598498</v>
      </c>
      <c r="J16" s="1029">
        <f t="shared" si="8"/>
        <v>23062306.506011147</v>
      </c>
      <c r="K16" s="1030"/>
      <c r="L16" s="1028">
        <v>55580528.289999999</v>
      </c>
      <c r="M16" s="1029">
        <f t="shared" si="2"/>
        <v>11671910.9409</v>
      </c>
      <c r="N16" s="1028">
        <v>5552494.7761709997</v>
      </c>
      <c r="O16" s="1029">
        <f t="shared" si="3"/>
        <v>-1166023.9029959098</v>
      </c>
      <c r="P16" s="1029">
        <f t="shared" si="4"/>
        <v>16058381.81407509</v>
      </c>
      <c r="Q16" s="1031"/>
      <c r="R16" s="1029">
        <f t="shared" si="5"/>
        <v>7003924.6919360571</v>
      </c>
      <c r="S16" s="1030"/>
      <c r="T16" s="1028">
        <v>7003924.6919360571</v>
      </c>
      <c r="U16" s="1030"/>
      <c r="V16" s="1028">
        <v>0</v>
      </c>
      <c r="W16" s="1030"/>
      <c r="X16" s="1029">
        <f t="shared" si="6"/>
        <v>0</v>
      </c>
      <c r="Y16" s="1024"/>
      <c r="Z16" s="1025" t="s">
        <v>974</v>
      </c>
      <c r="AA16" s="1026"/>
      <c r="AB16" s="1025" t="s">
        <v>1670</v>
      </c>
      <c r="AC16" s="1026"/>
      <c r="AD16" s="1027">
        <v>0</v>
      </c>
      <c r="AE16" s="1026"/>
      <c r="AF16" s="1029">
        <f t="shared" si="7"/>
        <v>0</v>
      </c>
      <c r="AG16" s="1026"/>
      <c r="AH16" s="1019">
        <v>190</v>
      </c>
      <c r="AI16" s="1025"/>
    </row>
    <row r="17" spans="2:35">
      <c r="B17" s="1019">
        <f t="shared" si="9"/>
        <v>6</v>
      </c>
      <c r="C17" s="1020" t="s">
        <v>1677</v>
      </c>
      <c r="D17" s="1020" t="s">
        <v>1677</v>
      </c>
      <c r="E17" s="1021" t="s">
        <v>1668</v>
      </c>
      <c r="F17" s="1028">
        <v>12870331.550000001</v>
      </c>
      <c r="G17" s="1029">
        <f t="shared" si="0"/>
        <v>4504616.0424999995</v>
      </c>
      <c r="H17" s="1028">
        <v>1920306.7260450004</v>
      </c>
      <c r="I17" s="1029">
        <f t="shared" si="1"/>
        <v>-672107.35411575006</v>
      </c>
      <c r="J17" s="1029">
        <f t="shared" si="8"/>
        <v>5752815.4144292492</v>
      </c>
      <c r="K17" s="1030"/>
      <c r="L17" s="1028">
        <v>12870331.550000001</v>
      </c>
      <c r="M17" s="1029">
        <f t="shared" si="2"/>
        <v>2702769.6255000001</v>
      </c>
      <c r="N17" s="1028">
        <v>1920306.7260450004</v>
      </c>
      <c r="O17" s="1029">
        <f t="shared" si="3"/>
        <v>-403264.41246945004</v>
      </c>
      <c r="P17" s="1029">
        <f t="shared" si="4"/>
        <v>4219811.9390755501</v>
      </c>
      <c r="Q17" s="1031"/>
      <c r="R17" s="1029">
        <f t="shared" si="5"/>
        <v>1533003.4753536992</v>
      </c>
      <c r="S17" s="1030"/>
      <c r="T17" s="1028">
        <v>1533003.4753536992</v>
      </c>
      <c r="U17" s="1030"/>
      <c r="V17" s="1028">
        <v>0</v>
      </c>
      <c r="W17" s="1030"/>
      <c r="X17" s="1029">
        <f t="shared" si="6"/>
        <v>0</v>
      </c>
      <c r="Y17" s="1024"/>
      <c r="Z17" s="1025" t="s">
        <v>974</v>
      </c>
      <c r="AA17" s="1026"/>
      <c r="AB17" s="1025" t="s">
        <v>1670</v>
      </c>
      <c r="AC17" s="1026"/>
      <c r="AD17" s="1027">
        <v>0</v>
      </c>
      <c r="AE17" s="1026"/>
      <c r="AF17" s="1029">
        <f t="shared" si="7"/>
        <v>0</v>
      </c>
      <c r="AG17" s="1026"/>
      <c r="AH17" s="1019">
        <v>190</v>
      </c>
      <c r="AI17" s="1025"/>
    </row>
    <row r="18" spans="2:35">
      <c r="B18" s="1019">
        <f t="shared" si="9"/>
        <v>7</v>
      </c>
      <c r="C18" s="1020" t="s">
        <v>1678</v>
      </c>
      <c r="D18" s="1020" t="s">
        <v>1678</v>
      </c>
      <c r="E18" s="1021" t="s">
        <v>1668</v>
      </c>
      <c r="F18" s="1028">
        <v>706840.72</v>
      </c>
      <c r="G18" s="1029">
        <f t="shared" si="0"/>
        <v>247394.25199999998</v>
      </c>
      <c r="H18" s="1028">
        <v>70613.387927999996</v>
      </c>
      <c r="I18" s="1029">
        <f t="shared" si="1"/>
        <v>-24714.685774799997</v>
      </c>
      <c r="J18" s="1029">
        <f t="shared" si="8"/>
        <v>293292.95415319997</v>
      </c>
      <c r="K18" s="1030"/>
      <c r="L18" s="1028">
        <v>706840.72</v>
      </c>
      <c r="M18" s="1029">
        <f t="shared" si="2"/>
        <v>148436.55119999999</v>
      </c>
      <c r="N18" s="1028">
        <v>70613.387927999996</v>
      </c>
      <c r="O18" s="1029">
        <f t="shared" si="3"/>
        <v>-14828.811464879998</v>
      </c>
      <c r="P18" s="1029">
        <f t="shared" si="4"/>
        <v>204221.12766311999</v>
      </c>
      <c r="Q18" s="1031"/>
      <c r="R18" s="1029">
        <f t="shared" si="5"/>
        <v>89071.826490079984</v>
      </c>
      <c r="S18" s="1030"/>
      <c r="T18" s="1028">
        <v>0</v>
      </c>
      <c r="U18" s="1030"/>
      <c r="V18" s="1028">
        <v>0</v>
      </c>
      <c r="W18" s="1030"/>
      <c r="X18" s="1029">
        <f t="shared" si="6"/>
        <v>89071.826490079984</v>
      </c>
      <c r="Y18" s="1024"/>
      <c r="Z18" s="1025" t="s">
        <v>1669</v>
      </c>
      <c r="AA18" s="1026"/>
      <c r="AB18" s="1025" t="s">
        <v>1670</v>
      </c>
      <c r="AC18" s="1026"/>
      <c r="AD18" s="1027">
        <v>0</v>
      </c>
      <c r="AE18" s="1026"/>
      <c r="AF18" s="1029">
        <f t="shared" si="7"/>
        <v>0</v>
      </c>
      <c r="AG18" s="1026"/>
      <c r="AH18" s="1019">
        <v>190</v>
      </c>
      <c r="AI18" s="1025"/>
    </row>
    <row r="19" spans="2:35">
      <c r="B19" s="1019">
        <f t="shared" si="9"/>
        <v>8</v>
      </c>
      <c r="C19" s="1020" t="s">
        <v>1579</v>
      </c>
      <c r="D19" s="1020" t="s">
        <v>1579</v>
      </c>
      <c r="E19" s="1021" t="s">
        <v>1668</v>
      </c>
      <c r="F19" s="1028">
        <v>10603526.76</v>
      </c>
      <c r="G19" s="1029">
        <f t="shared" si="0"/>
        <v>3711234.3659999995</v>
      </c>
      <c r="H19" s="1028">
        <v>1059292.323324</v>
      </c>
      <c r="I19" s="1029">
        <f t="shared" si="1"/>
        <v>-370752.31316339999</v>
      </c>
      <c r="J19" s="1029">
        <f t="shared" si="8"/>
        <v>4399774.3761605993</v>
      </c>
      <c r="K19" s="1030"/>
      <c r="L19" s="1028">
        <v>10603526.76</v>
      </c>
      <c r="M19" s="1029">
        <f t="shared" si="2"/>
        <v>2226740.6195999999</v>
      </c>
      <c r="N19" s="1028">
        <v>1059292.323324</v>
      </c>
      <c r="O19" s="1029">
        <f t="shared" si="3"/>
        <v>-222451.38789804</v>
      </c>
      <c r="P19" s="1029">
        <f t="shared" si="4"/>
        <v>3063581.5550259599</v>
      </c>
      <c r="Q19" s="1031"/>
      <c r="R19" s="1029">
        <f t="shared" si="5"/>
        <v>1336192.8211346394</v>
      </c>
      <c r="S19" s="1030"/>
      <c r="T19" s="1028">
        <v>0</v>
      </c>
      <c r="U19" s="1030"/>
      <c r="V19" s="1028">
        <v>0</v>
      </c>
      <c r="W19" s="1030"/>
      <c r="X19" s="1029">
        <f t="shared" si="6"/>
        <v>1336192.8211346394</v>
      </c>
      <c r="Y19" s="1024"/>
      <c r="Z19" s="1025" t="s">
        <v>1669</v>
      </c>
      <c r="AA19" s="1026"/>
      <c r="AB19" s="1025" t="s">
        <v>1670</v>
      </c>
      <c r="AC19" s="1026"/>
      <c r="AD19" s="1027">
        <v>0</v>
      </c>
      <c r="AE19" s="1026"/>
      <c r="AF19" s="1029">
        <f t="shared" si="7"/>
        <v>0</v>
      </c>
      <c r="AG19" s="1026"/>
      <c r="AH19" s="1019">
        <v>190</v>
      </c>
      <c r="AI19" s="1016"/>
    </row>
    <row r="20" spans="2:35">
      <c r="B20" s="1019">
        <f t="shared" si="9"/>
        <v>9</v>
      </c>
      <c r="C20" s="1020" t="s">
        <v>1679</v>
      </c>
      <c r="D20" s="1020" t="s">
        <v>1679</v>
      </c>
      <c r="E20" s="1021" t="s">
        <v>1668</v>
      </c>
      <c r="F20" s="1028">
        <v>891167.37</v>
      </c>
      <c r="G20" s="1029">
        <f t="shared" si="0"/>
        <v>311908.57949999999</v>
      </c>
      <c r="H20" s="1028">
        <v>89027.620263000004</v>
      </c>
      <c r="I20" s="1029">
        <f t="shared" si="1"/>
        <v>-31159.66709205</v>
      </c>
      <c r="J20" s="1029">
        <f t="shared" si="8"/>
        <v>369776.53267094999</v>
      </c>
      <c r="K20" s="1030"/>
      <c r="L20" s="1028">
        <v>891167.37</v>
      </c>
      <c r="M20" s="1029">
        <f t="shared" si="2"/>
        <v>187145.1477</v>
      </c>
      <c r="N20" s="1028">
        <v>89027.620263000004</v>
      </c>
      <c r="O20" s="1029">
        <f t="shared" si="3"/>
        <v>-18695.800255229999</v>
      </c>
      <c r="P20" s="1029">
        <f t="shared" si="4"/>
        <v>257476.96770777</v>
      </c>
      <c r="Q20" s="1031"/>
      <c r="R20" s="1029">
        <f t="shared" si="5"/>
        <v>112299.56496317999</v>
      </c>
      <c r="S20" s="1030"/>
      <c r="T20" s="1028">
        <v>0</v>
      </c>
      <c r="U20" s="1030"/>
      <c r="V20" s="1028">
        <v>0</v>
      </c>
      <c r="W20" s="1030"/>
      <c r="X20" s="1029">
        <f t="shared" si="6"/>
        <v>112299.56496317999</v>
      </c>
      <c r="Y20" s="1024"/>
      <c r="Z20" s="1025" t="s">
        <v>1669</v>
      </c>
      <c r="AA20" s="1026"/>
      <c r="AB20" s="1025" t="s">
        <v>1670</v>
      </c>
      <c r="AC20" s="1026"/>
      <c r="AD20" s="1027">
        <v>0</v>
      </c>
      <c r="AE20" s="1026"/>
      <c r="AF20" s="1029">
        <f t="shared" si="7"/>
        <v>0</v>
      </c>
      <c r="AG20" s="1026"/>
      <c r="AH20" s="1019">
        <v>190</v>
      </c>
      <c r="AI20" s="1016"/>
    </row>
    <row r="21" spans="2:35">
      <c r="B21" s="1019">
        <f t="shared" si="9"/>
        <v>10</v>
      </c>
      <c r="C21" s="1020" t="s">
        <v>878</v>
      </c>
      <c r="D21" s="1020" t="s">
        <v>878</v>
      </c>
      <c r="E21" s="1021" t="s">
        <v>1668</v>
      </c>
      <c r="F21" s="1028">
        <v>838834</v>
      </c>
      <c r="G21" s="1029">
        <f t="shared" si="0"/>
        <v>293591.89999999997</v>
      </c>
      <c r="H21" s="1028">
        <v>83799.516600000003</v>
      </c>
      <c r="I21" s="1029">
        <f t="shared" si="1"/>
        <v>-29329.830809999999</v>
      </c>
      <c r="J21" s="1029">
        <f t="shared" si="8"/>
        <v>348061.58578999992</v>
      </c>
      <c r="K21" s="1030"/>
      <c r="L21" s="1028">
        <v>838834</v>
      </c>
      <c r="M21" s="1029">
        <f t="shared" si="2"/>
        <v>176155.13999999998</v>
      </c>
      <c r="N21" s="1028">
        <v>83799.516600000003</v>
      </c>
      <c r="O21" s="1029">
        <f t="shared" si="3"/>
        <v>-17597.898485999998</v>
      </c>
      <c r="P21" s="1029">
        <f t="shared" si="4"/>
        <v>242356.758114</v>
      </c>
      <c r="Q21" s="1031"/>
      <c r="R21" s="1029">
        <f t="shared" si="5"/>
        <v>105704.82767599993</v>
      </c>
      <c r="S21" s="1030"/>
      <c r="T21" s="1028">
        <v>0</v>
      </c>
      <c r="U21" s="1030"/>
      <c r="V21" s="1028">
        <v>0</v>
      </c>
      <c r="W21" s="1030"/>
      <c r="X21" s="1029">
        <f t="shared" si="6"/>
        <v>105704.82767599993</v>
      </c>
      <c r="Y21" s="1024"/>
      <c r="Z21" s="1025" t="s">
        <v>1672</v>
      </c>
      <c r="AA21" s="1026"/>
      <c r="AB21" s="1025" t="s">
        <v>1673</v>
      </c>
      <c r="AC21" s="1026"/>
      <c r="AD21" s="1027">
        <v>9.7000208802171542E-2</v>
      </c>
      <c r="AE21" s="1026"/>
      <c r="AF21" s="1029">
        <f t="shared" si="7"/>
        <v>10253.390355969554</v>
      </c>
      <c r="AG21" s="1026"/>
      <c r="AH21" s="1019">
        <v>190</v>
      </c>
      <c r="AI21" s="1016"/>
    </row>
    <row r="22" spans="2:35">
      <c r="B22" s="1019">
        <f t="shared" si="9"/>
        <v>11</v>
      </c>
      <c r="C22" s="1020" t="s">
        <v>1680</v>
      </c>
      <c r="D22" s="1020" t="s">
        <v>1680</v>
      </c>
      <c r="E22" s="1021" t="s">
        <v>1163</v>
      </c>
      <c r="F22" s="1028">
        <v>21797137.285714284</v>
      </c>
      <c r="G22" s="1029">
        <f t="shared" si="0"/>
        <v>7628998.0499999989</v>
      </c>
      <c r="H22" s="1028">
        <v>0</v>
      </c>
      <c r="I22" s="1029">
        <f t="shared" si="1"/>
        <v>0</v>
      </c>
      <c r="J22" s="1029">
        <f t="shared" si="8"/>
        <v>7628998.0499999989</v>
      </c>
      <c r="K22" s="1030"/>
      <c r="L22" s="1028">
        <v>21797137.285714284</v>
      </c>
      <c r="M22" s="1029">
        <f t="shared" si="2"/>
        <v>4577398.8299999991</v>
      </c>
      <c r="N22" s="1028">
        <v>0</v>
      </c>
      <c r="O22" s="1029">
        <f t="shared" si="3"/>
        <v>0</v>
      </c>
      <c r="P22" s="1029">
        <f t="shared" si="4"/>
        <v>4577398.8299999991</v>
      </c>
      <c r="Q22" s="1031"/>
      <c r="R22" s="1029">
        <f t="shared" si="5"/>
        <v>3051599.2199999997</v>
      </c>
      <c r="S22" s="1030"/>
      <c r="T22" s="1028">
        <v>0</v>
      </c>
      <c r="U22" s="1030"/>
      <c r="V22" s="1028">
        <v>0</v>
      </c>
      <c r="W22" s="1030"/>
      <c r="X22" s="1029">
        <f t="shared" si="6"/>
        <v>3051599.2199999997</v>
      </c>
      <c r="Y22" s="1024"/>
      <c r="Z22" s="1025" t="s">
        <v>458</v>
      </c>
      <c r="AA22" s="1026"/>
      <c r="AB22" s="1025" t="s">
        <v>1670</v>
      </c>
      <c r="AC22" s="1026"/>
      <c r="AD22" s="1027">
        <v>0</v>
      </c>
      <c r="AE22" s="1026"/>
      <c r="AF22" s="1029">
        <f t="shared" si="7"/>
        <v>0</v>
      </c>
      <c r="AG22" s="1026"/>
      <c r="AH22" s="1019">
        <v>190</v>
      </c>
      <c r="AI22" s="1016"/>
    </row>
    <row r="23" spans="2:35">
      <c r="B23" s="1019">
        <f t="shared" si="9"/>
        <v>12</v>
      </c>
      <c r="C23" s="1020" t="s">
        <v>881</v>
      </c>
      <c r="D23" s="1020" t="s">
        <v>881</v>
      </c>
      <c r="E23" s="1021" t="s">
        <v>1668</v>
      </c>
      <c r="F23" s="1028">
        <v>24994572.84</v>
      </c>
      <c r="G23" s="1029">
        <f t="shared" si="0"/>
        <v>8748100.493999999</v>
      </c>
      <c r="H23" s="1028">
        <v>2496957.8267160002</v>
      </c>
      <c r="I23" s="1029">
        <f t="shared" si="1"/>
        <v>-873935.23935060005</v>
      </c>
      <c r="J23" s="1029">
        <f t="shared" si="8"/>
        <v>10371123.081365399</v>
      </c>
      <c r="K23" s="1030"/>
      <c r="L23" s="1028">
        <v>24994572.84</v>
      </c>
      <c r="M23" s="1029">
        <f t="shared" si="2"/>
        <v>5248860.2963999994</v>
      </c>
      <c r="N23" s="1028">
        <v>2496957.8267160002</v>
      </c>
      <c r="O23" s="1029">
        <f t="shared" si="3"/>
        <v>-524361.14361035998</v>
      </c>
      <c r="P23" s="1029">
        <f t="shared" si="4"/>
        <v>7221456.9795056395</v>
      </c>
      <c r="Q23" s="1031"/>
      <c r="R23" s="1029">
        <f t="shared" si="5"/>
        <v>3149666.1018597595</v>
      </c>
      <c r="S23" s="1030"/>
      <c r="T23" s="1028">
        <v>3149666.1018597595</v>
      </c>
      <c r="U23" s="1030"/>
      <c r="V23" s="1028">
        <v>0</v>
      </c>
      <c r="W23" s="1030"/>
      <c r="X23" s="1029">
        <f t="shared" si="6"/>
        <v>0</v>
      </c>
      <c r="Y23" s="1024"/>
      <c r="Z23" s="1025" t="s">
        <v>1669</v>
      </c>
      <c r="AA23" s="1026"/>
      <c r="AB23" s="1025" t="s">
        <v>1670</v>
      </c>
      <c r="AC23" s="1026"/>
      <c r="AD23" s="1027">
        <v>0</v>
      </c>
      <c r="AE23" s="1026"/>
      <c r="AF23" s="1029">
        <f t="shared" si="7"/>
        <v>0</v>
      </c>
      <c r="AG23" s="1026"/>
      <c r="AH23" s="1019">
        <v>190</v>
      </c>
      <c r="AI23" s="1025"/>
    </row>
    <row r="24" spans="2:35">
      <c r="B24" s="1019">
        <f t="shared" si="9"/>
        <v>13</v>
      </c>
      <c r="C24" s="1020" t="s">
        <v>1681</v>
      </c>
      <c r="D24" s="1020" t="s">
        <v>1681</v>
      </c>
      <c r="E24" s="1021" t="s">
        <v>1668</v>
      </c>
      <c r="F24" s="1028">
        <v>0</v>
      </c>
      <c r="G24" s="1029">
        <f t="shared" si="0"/>
        <v>0</v>
      </c>
      <c r="H24" s="1028">
        <v>0</v>
      </c>
      <c r="I24" s="1029">
        <f t="shared" si="1"/>
        <v>0</v>
      </c>
      <c r="J24" s="1029">
        <f t="shared" si="8"/>
        <v>0</v>
      </c>
      <c r="K24" s="1030"/>
      <c r="L24" s="1028">
        <v>0</v>
      </c>
      <c r="M24" s="1029">
        <f t="shared" si="2"/>
        <v>0</v>
      </c>
      <c r="N24" s="1028">
        <v>0</v>
      </c>
      <c r="O24" s="1029">
        <f t="shared" si="3"/>
        <v>0</v>
      </c>
      <c r="P24" s="1029">
        <f t="shared" si="4"/>
        <v>0</v>
      </c>
      <c r="Q24" s="1031"/>
      <c r="R24" s="1029">
        <f t="shared" si="5"/>
        <v>0</v>
      </c>
      <c r="S24" s="1030"/>
      <c r="T24" s="1028">
        <v>0</v>
      </c>
      <c r="U24" s="1030"/>
      <c r="V24" s="1028">
        <v>0</v>
      </c>
      <c r="W24" s="1030"/>
      <c r="X24" s="1029">
        <f t="shared" si="6"/>
        <v>0</v>
      </c>
      <c r="Y24" s="1024"/>
      <c r="Z24" s="1025" t="s">
        <v>974</v>
      </c>
      <c r="AA24" s="1026"/>
      <c r="AB24" s="1025" t="s">
        <v>1670</v>
      </c>
      <c r="AC24" s="1026"/>
      <c r="AD24" s="1027">
        <v>0</v>
      </c>
      <c r="AE24" s="1026"/>
      <c r="AF24" s="1029">
        <f t="shared" si="7"/>
        <v>0</v>
      </c>
      <c r="AG24" s="1026"/>
      <c r="AH24" s="1019">
        <v>190</v>
      </c>
      <c r="AI24" s="1025"/>
    </row>
    <row r="25" spans="2:35">
      <c r="B25" s="1019">
        <f t="shared" si="9"/>
        <v>14</v>
      </c>
      <c r="C25" s="1020" t="s">
        <v>1682</v>
      </c>
      <c r="D25" s="1020" t="s">
        <v>1682</v>
      </c>
      <c r="E25" s="1021" t="s">
        <v>1668</v>
      </c>
      <c r="F25" s="1028">
        <v>42658321.25</v>
      </c>
      <c r="G25" s="1029">
        <f t="shared" si="0"/>
        <v>14930412.437499998</v>
      </c>
      <c r="H25" s="1028">
        <v>4261566.2928750003</v>
      </c>
      <c r="I25" s="1029">
        <f t="shared" si="1"/>
        <v>-1491548.20250625</v>
      </c>
      <c r="J25" s="1029">
        <f t="shared" si="8"/>
        <v>17700430.527868748</v>
      </c>
      <c r="K25" s="1030"/>
      <c r="L25" s="1028">
        <v>42658321.25</v>
      </c>
      <c r="M25" s="1029">
        <f t="shared" si="2"/>
        <v>8958247.4625000004</v>
      </c>
      <c r="N25" s="1028">
        <v>4261566.2928750003</v>
      </c>
      <c r="O25" s="1029">
        <f t="shared" si="3"/>
        <v>-894928.92150375003</v>
      </c>
      <c r="P25" s="1029">
        <f t="shared" si="4"/>
        <v>12324884.833871251</v>
      </c>
      <c r="Q25" s="1031"/>
      <c r="R25" s="1029">
        <f t="shared" si="5"/>
        <v>5375545.6939974967</v>
      </c>
      <c r="S25" s="1030"/>
      <c r="T25" s="1028">
        <v>0</v>
      </c>
      <c r="U25" s="1030"/>
      <c r="V25" s="1028">
        <v>0</v>
      </c>
      <c r="W25" s="1030"/>
      <c r="X25" s="1029">
        <f t="shared" si="6"/>
        <v>5375545.6939974967</v>
      </c>
      <c r="Y25" s="1024"/>
      <c r="Z25" s="1025" t="s">
        <v>1672</v>
      </c>
      <c r="AA25" s="1026"/>
      <c r="AB25" s="1025" t="s">
        <v>1673</v>
      </c>
      <c r="AC25" s="1026"/>
      <c r="AD25" s="1027">
        <v>9.7000208802171542E-2</v>
      </c>
      <c r="AE25" s="1026"/>
      <c r="AF25" s="1029">
        <f t="shared" si="7"/>
        <v>521429.05474337132</v>
      </c>
      <c r="AG25" s="1026"/>
      <c r="AH25" s="1019">
        <v>190</v>
      </c>
      <c r="AI25" s="1016"/>
    </row>
    <row r="26" spans="2:35">
      <c r="B26" s="1019">
        <f t="shared" si="9"/>
        <v>15</v>
      </c>
      <c r="C26" s="1020" t="s">
        <v>1683</v>
      </c>
      <c r="D26" s="1020" t="s">
        <v>1683</v>
      </c>
      <c r="E26" s="1021" t="s">
        <v>1668</v>
      </c>
      <c r="F26" s="1028">
        <v>0</v>
      </c>
      <c r="G26" s="1029">
        <f t="shared" si="0"/>
        <v>0</v>
      </c>
      <c r="H26" s="1028">
        <v>0</v>
      </c>
      <c r="I26" s="1029">
        <f t="shared" si="1"/>
        <v>0</v>
      </c>
      <c r="J26" s="1029">
        <f t="shared" si="8"/>
        <v>0</v>
      </c>
      <c r="K26" s="1030"/>
      <c r="L26" s="1028">
        <v>0</v>
      </c>
      <c r="M26" s="1029">
        <f t="shared" si="2"/>
        <v>0</v>
      </c>
      <c r="N26" s="1028">
        <v>0</v>
      </c>
      <c r="O26" s="1029">
        <f t="shared" si="3"/>
        <v>0</v>
      </c>
      <c r="P26" s="1029">
        <f t="shared" si="4"/>
        <v>0</v>
      </c>
      <c r="Q26" s="1031"/>
      <c r="R26" s="1029">
        <f t="shared" si="5"/>
        <v>0</v>
      </c>
      <c r="S26" s="1030"/>
      <c r="T26" s="1028">
        <v>0</v>
      </c>
      <c r="U26" s="1030"/>
      <c r="V26" s="1028">
        <v>0</v>
      </c>
      <c r="W26" s="1030"/>
      <c r="X26" s="1029">
        <f t="shared" si="6"/>
        <v>0</v>
      </c>
      <c r="Y26" s="1024"/>
      <c r="Z26" s="1025" t="s">
        <v>974</v>
      </c>
      <c r="AA26" s="1026"/>
      <c r="AB26" s="1025" t="s">
        <v>1670</v>
      </c>
      <c r="AC26" s="1026"/>
      <c r="AD26" s="1027">
        <v>0</v>
      </c>
      <c r="AE26" s="1026"/>
      <c r="AF26" s="1029">
        <f t="shared" si="7"/>
        <v>0</v>
      </c>
      <c r="AG26" s="1026"/>
      <c r="AH26" s="1019">
        <v>190</v>
      </c>
      <c r="AI26" s="1016"/>
    </row>
    <row r="27" spans="2:35">
      <c r="B27" s="1019">
        <f t="shared" si="9"/>
        <v>16</v>
      </c>
      <c r="C27" s="1020" t="s">
        <v>1684</v>
      </c>
      <c r="D27" s="1020" t="s">
        <v>1684</v>
      </c>
      <c r="E27" s="1021" t="s">
        <v>1668</v>
      </c>
      <c r="F27" s="1028">
        <v>36672820</v>
      </c>
      <c r="G27" s="1029">
        <f t="shared" si="0"/>
        <v>12835487</v>
      </c>
      <c r="H27" s="1028">
        <v>3663614.7179999999</v>
      </c>
      <c r="I27" s="1029">
        <f t="shared" si="1"/>
        <v>-1282265.1512999998</v>
      </c>
      <c r="J27" s="1029">
        <f t="shared" si="8"/>
        <v>15216836.5667</v>
      </c>
      <c r="K27" s="1030"/>
      <c r="L27" s="1028">
        <v>36672820</v>
      </c>
      <c r="M27" s="1029">
        <f t="shared" si="2"/>
        <v>7701292.1999999993</v>
      </c>
      <c r="N27" s="1028">
        <v>3663614.7179999999</v>
      </c>
      <c r="O27" s="1029">
        <f t="shared" si="3"/>
        <v>-769359.09077999997</v>
      </c>
      <c r="P27" s="1029">
        <f t="shared" si="4"/>
        <v>10595547.827219998</v>
      </c>
      <c r="Q27" s="1031"/>
      <c r="R27" s="1029">
        <f t="shared" si="5"/>
        <v>4621288.7394800019</v>
      </c>
      <c r="S27" s="1030"/>
      <c r="T27" s="1028">
        <v>4621288.7394800019</v>
      </c>
      <c r="U27" s="1030"/>
      <c r="V27" s="1028">
        <v>0</v>
      </c>
      <c r="W27" s="1030"/>
      <c r="X27" s="1029">
        <f t="shared" si="6"/>
        <v>0</v>
      </c>
      <c r="Y27" s="1024"/>
      <c r="Z27" s="1025" t="s">
        <v>974</v>
      </c>
      <c r="AA27" s="1026"/>
      <c r="AB27" s="1025" t="s">
        <v>1670</v>
      </c>
      <c r="AC27" s="1026"/>
      <c r="AD27" s="1027">
        <v>0</v>
      </c>
      <c r="AE27" s="1026"/>
      <c r="AF27" s="1029">
        <f t="shared" si="7"/>
        <v>0</v>
      </c>
      <c r="AG27" s="1026"/>
      <c r="AH27" s="1019">
        <v>190</v>
      </c>
      <c r="AI27" s="1016"/>
    </row>
    <row r="28" spans="2:35">
      <c r="B28" s="1019">
        <f t="shared" si="9"/>
        <v>17</v>
      </c>
      <c r="C28" s="1020" t="s">
        <v>1685</v>
      </c>
      <c r="D28" s="1020" t="s">
        <v>1685</v>
      </c>
      <c r="E28" s="1021" t="s">
        <v>1668</v>
      </c>
      <c r="F28" s="1028">
        <v>0.36999999731779099</v>
      </c>
      <c r="G28" s="1029">
        <f t="shared" si="0"/>
        <v>0.12949999906122683</v>
      </c>
      <c r="H28" s="1028">
        <v>3.6962999732047322E-2</v>
      </c>
      <c r="I28" s="1029">
        <f t="shared" si="1"/>
        <v>-1.2937049906216563E-2</v>
      </c>
      <c r="J28" s="1029">
        <f t="shared" si="8"/>
        <v>0.15352594888705759</v>
      </c>
      <c r="K28" s="1030"/>
      <c r="L28" s="1028">
        <v>0.36999999731779099</v>
      </c>
      <c r="M28" s="1029">
        <f t="shared" si="2"/>
        <v>7.7699999436736097E-2</v>
      </c>
      <c r="N28" s="1028">
        <v>3.6962999732047322E-2</v>
      </c>
      <c r="O28" s="1029">
        <f t="shared" si="3"/>
        <v>-7.7622299437299369E-3</v>
      </c>
      <c r="P28" s="1029">
        <f t="shared" si="4"/>
        <v>0.10690076922505348</v>
      </c>
      <c r="Q28" s="1031"/>
      <c r="R28" s="1029">
        <f t="shared" si="5"/>
        <v>4.6625179662004107E-2</v>
      </c>
      <c r="S28" s="1030"/>
      <c r="T28" s="1028">
        <v>0</v>
      </c>
      <c r="U28" s="1030"/>
      <c r="V28" s="1028">
        <v>0</v>
      </c>
      <c r="W28" s="1030"/>
      <c r="X28" s="1029">
        <f t="shared" si="6"/>
        <v>4.6625179662004107E-2</v>
      </c>
      <c r="Y28" s="1024"/>
      <c r="Z28" s="1025" t="s">
        <v>1669</v>
      </c>
      <c r="AA28" s="1026"/>
      <c r="AB28" s="1025" t="s">
        <v>1670</v>
      </c>
      <c r="AC28" s="1026"/>
      <c r="AD28" s="1027">
        <v>0</v>
      </c>
      <c r="AE28" s="1026"/>
      <c r="AF28" s="1029">
        <f t="shared" si="7"/>
        <v>0</v>
      </c>
      <c r="AG28" s="1026"/>
      <c r="AH28" s="1019">
        <v>190</v>
      </c>
      <c r="AI28" s="1016"/>
    </row>
    <row r="29" spans="2:35">
      <c r="B29" s="1019">
        <f t="shared" si="9"/>
        <v>18</v>
      </c>
      <c r="C29" s="1020" t="s">
        <v>1686</v>
      </c>
      <c r="D29" s="1020" t="s">
        <v>1686</v>
      </c>
      <c r="E29" s="1021" t="s">
        <v>1668</v>
      </c>
      <c r="F29" s="1028">
        <v>1733789.27</v>
      </c>
      <c r="G29" s="1029">
        <f t="shared" si="0"/>
        <v>606826.24449999991</v>
      </c>
      <c r="H29" s="1028">
        <v>173205.54807300001</v>
      </c>
      <c r="I29" s="1029">
        <f t="shared" si="1"/>
        <v>-60621.941825549999</v>
      </c>
      <c r="J29" s="1029">
        <f t="shared" si="8"/>
        <v>719409.85074744991</v>
      </c>
      <c r="K29" s="1030"/>
      <c r="L29" s="1028">
        <v>1733789.27</v>
      </c>
      <c r="M29" s="1029">
        <f t="shared" si="2"/>
        <v>364095.74670000002</v>
      </c>
      <c r="N29" s="1028">
        <v>173205.54807300001</v>
      </c>
      <c r="O29" s="1029">
        <f t="shared" si="3"/>
        <v>-36373.165095329998</v>
      </c>
      <c r="P29" s="1029">
        <f t="shared" si="4"/>
        <v>500928.12967767008</v>
      </c>
      <c r="Q29" s="1031"/>
      <c r="R29" s="1029">
        <f t="shared" si="5"/>
        <v>218481.72106977983</v>
      </c>
      <c r="S29" s="1030"/>
      <c r="T29" s="1028">
        <v>0</v>
      </c>
      <c r="U29" s="1030"/>
      <c r="V29" s="1028">
        <v>0</v>
      </c>
      <c r="W29" s="1030"/>
      <c r="X29" s="1029">
        <f t="shared" si="6"/>
        <v>218481.72106977983</v>
      </c>
      <c r="Y29" s="1024"/>
      <c r="Z29" s="1025" t="s">
        <v>1669</v>
      </c>
      <c r="AA29" s="1026"/>
      <c r="AB29" s="1025" t="s">
        <v>1670</v>
      </c>
      <c r="AC29" s="1026"/>
      <c r="AD29" s="1027">
        <v>0</v>
      </c>
      <c r="AE29" s="1026"/>
      <c r="AF29" s="1029">
        <f t="shared" si="7"/>
        <v>0</v>
      </c>
      <c r="AG29" s="1026"/>
      <c r="AH29" s="1019">
        <v>190</v>
      </c>
      <c r="AI29" s="1016"/>
    </row>
    <row r="30" spans="2:35">
      <c r="B30" s="1019">
        <f t="shared" si="9"/>
        <v>19</v>
      </c>
      <c r="C30" s="1020" t="s">
        <v>1687</v>
      </c>
      <c r="D30" s="1020" t="s">
        <v>1687</v>
      </c>
      <c r="E30" s="1021" t="s">
        <v>1668</v>
      </c>
      <c r="F30" s="1028">
        <v>1102751.3699999996</v>
      </c>
      <c r="G30" s="1029">
        <f t="shared" si="0"/>
        <v>385962.97949999984</v>
      </c>
      <c r="H30" s="1028">
        <v>110164.86186299997</v>
      </c>
      <c r="I30" s="1029">
        <f t="shared" si="1"/>
        <v>-38557.701652049989</v>
      </c>
      <c r="J30" s="1029">
        <f t="shared" si="8"/>
        <v>457570.13971094985</v>
      </c>
      <c r="K30" s="1030"/>
      <c r="L30" s="1028">
        <v>1102751.3699999996</v>
      </c>
      <c r="M30" s="1029">
        <f t="shared" si="2"/>
        <v>231577.78769999993</v>
      </c>
      <c r="N30" s="1028">
        <v>110164.86186299997</v>
      </c>
      <c r="O30" s="1029">
        <f t="shared" si="3"/>
        <v>-23134.620991229993</v>
      </c>
      <c r="P30" s="1029">
        <f t="shared" si="4"/>
        <v>318608.02857176994</v>
      </c>
      <c r="Q30" s="1031"/>
      <c r="R30" s="1029">
        <f t="shared" si="5"/>
        <v>138962.11113917991</v>
      </c>
      <c r="S30" s="1030"/>
      <c r="T30" s="1028">
        <v>0</v>
      </c>
      <c r="U30" s="1030"/>
      <c r="V30" s="1028">
        <v>0</v>
      </c>
      <c r="W30" s="1030"/>
      <c r="X30" s="1029">
        <f t="shared" si="6"/>
        <v>138962.11113917991</v>
      </c>
      <c r="Y30" s="1024"/>
      <c r="Z30" s="1025" t="s">
        <v>1669</v>
      </c>
      <c r="AA30" s="1026"/>
      <c r="AB30" s="1025" t="s">
        <v>1670</v>
      </c>
      <c r="AC30" s="1026"/>
      <c r="AD30" s="1027">
        <v>0</v>
      </c>
      <c r="AE30" s="1026"/>
      <c r="AF30" s="1029">
        <f t="shared" si="7"/>
        <v>0</v>
      </c>
      <c r="AG30" s="1026"/>
      <c r="AH30" s="1019">
        <v>190</v>
      </c>
      <c r="AI30" s="1016"/>
    </row>
    <row r="31" spans="2:35">
      <c r="B31" s="1019">
        <f t="shared" si="9"/>
        <v>20</v>
      </c>
      <c r="C31" s="1020" t="s">
        <v>1688</v>
      </c>
      <c r="D31" s="1020" t="s">
        <v>1688</v>
      </c>
      <c r="E31" s="1021" t="s">
        <v>1668</v>
      </c>
      <c r="F31" s="1028">
        <v>0</v>
      </c>
      <c r="G31" s="1029">
        <f t="shared" si="0"/>
        <v>0</v>
      </c>
      <c r="H31" s="1028">
        <v>0</v>
      </c>
      <c r="I31" s="1029">
        <f t="shared" si="1"/>
        <v>0</v>
      </c>
      <c r="J31" s="1029">
        <f t="shared" si="8"/>
        <v>0</v>
      </c>
      <c r="K31" s="1030"/>
      <c r="L31" s="1028">
        <v>0</v>
      </c>
      <c r="M31" s="1029">
        <f t="shared" si="2"/>
        <v>0</v>
      </c>
      <c r="N31" s="1028">
        <v>0</v>
      </c>
      <c r="O31" s="1029">
        <f t="shared" si="3"/>
        <v>0</v>
      </c>
      <c r="P31" s="1029">
        <f t="shared" si="4"/>
        <v>0</v>
      </c>
      <c r="Q31" s="1031"/>
      <c r="R31" s="1029">
        <f t="shared" si="5"/>
        <v>0</v>
      </c>
      <c r="S31" s="1030"/>
      <c r="T31" s="1028">
        <v>0</v>
      </c>
      <c r="U31" s="1030"/>
      <c r="V31" s="1028">
        <v>0</v>
      </c>
      <c r="W31" s="1030"/>
      <c r="X31" s="1029">
        <f t="shared" si="6"/>
        <v>0</v>
      </c>
      <c r="Y31" s="1024"/>
      <c r="Z31" s="1025" t="s">
        <v>458</v>
      </c>
      <c r="AA31" s="1026"/>
      <c r="AB31" s="1025" t="s">
        <v>1670</v>
      </c>
      <c r="AC31" s="1026"/>
      <c r="AD31" s="1027">
        <v>0</v>
      </c>
      <c r="AE31" s="1026"/>
      <c r="AF31" s="1029">
        <f t="shared" si="7"/>
        <v>0</v>
      </c>
      <c r="AG31" s="1026"/>
      <c r="AH31" s="1019">
        <v>190</v>
      </c>
      <c r="AI31" s="1025"/>
    </row>
    <row r="32" spans="2:35">
      <c r="B32" s="1019">
        <f t="shared" si="9"/>
        <v>21</v>
      </c>
      <c r="C32" s="1020" t="s">
        <v>1689</v>
      </c>
      <c r="D32" s="1020" t="s">
        <v>1689</v>
      </c>
      <c r="E32" s="1021" t="s">
        <v>1668</v>
      </c>
      <c r="F32" s="1028">
        <v>0</v>
      </c>
      <c r="G32" s="1029">
        <f t="shared" si="0"/>
        <v>0</v>
      </c>
      <c r="H32" s="1028">
        <v>0</v>
      </c>
      <c r="I32" s="1029">
        <f t="shared" si="1"/>
        <v>0</v>
      </c>
      <c r="J32" s="1029">
        <f t="shared" si="8"/>
        <v>0</v>
      </c>
      <c r="K32" s="1030"/>
      <c r="L32" s="1028">
        <v>0</v>
      </c>
      <c r="M32" s="1029">
        <f t="shared" si="2"/>
        <v>0</v>
      </c>
      <c r="N32" s="1028">
        <v>0</v>
      </c>
      <c r="O32" s="1029">
        <f t="shared" si="3"/>
        <v>0</v>
      </c>
      <c r="P32" s="1029">
        <f t="shared" si="4"/>
        <v>0</v>
      </c>
      <c r="Q32" s="1031"/>
      <c r="R32" s="1029">
        <f t="shared" si="5"/>
        <v>0</v>
      </c>
      <c r="S32" s="1030"/>
      <c r="T32" s="1028">
        <v>0</v>
      </c>
      <c r="U32" s="1030"/>
      <c r="V32" s="1028">
        <v>0</v>
      </c>
      <c r="W32" s="1030"/>
      <c r="X32" s="1029">
        <f t="shared" si="6"/>
        <v>0</v>
      </c>
      <c r="Y32" s="1024"/>
      <c r="Z32" s="1025" t="s">
        <v>1669</v>
      </c>
      <c r="AA32" s="1026"/>
      <c r="AB32" s="1025" t="s">
        <v>1670</v>
      </c>
      <c r="AC32" s="1026"/>
      <c r="AD32" s="1027">
        <v>0</v>
      </c>
      <c r="AE32" s="1026"/>
      <c r="AF32" s="1029">
        <f t="shared" si="7"/>
        <v>0</v>
      </c>
      <c r="AG32" s="1026"/>
      <c r="AH32" s="1019">
        <v>190</v>
      </c>
      <c r="AI32" s="1025"/>
    </row>
    <row r="33" spans="2:37">
      <c r="B33" s="1019">
        <f t="shared" si="9"/>
        <v>22</v>
      </c>
      <c r="C33" s="1020" t="s">
        <v>1690</v>
      </c>
      <c r="D33" s="1020" t="s">
        <v>1690</v>
      </c>
      <c r="E33" s="1021" t="s">
        <v>1668</v>
      </c>
      <c r="F33" s="1028">
        <v>7960953.6300000083</v>
      </c>
      <c r="G33" s="1029">
        <f>F33*0.35</f>
        <v>2786333.7705000029</v>
      </c>
      <c r="H33" s="1028">
        <v>795299.26763700088</v>
      </c>
      <c r="I33" s="1029">
        <f>-H33*0.35</f>
        <v>-278354.74367295031</v>
      </c>
      <c r="J33" s="1029">
        <f>G33+I33+H33</f>
        <v>3303278.2944640536</v>
      </c>
      <c r="K33" s="1030"/>
      <c r="L33" s="1028">
        <v>7960953.6300000083</v>
      </c>
      <c r="M33" s="1029">
        <f>L33*0.21</f>
        <v>1671800.2623000017</v>
      </c>
      <c r="N33" s="1028">
        <v>795299.26763700088</v>
      </c>
      <c r="O33" s="1029">
        <f>-N33*0.21</f>
        <v>-167012.84620377017</v>
      </c>
      <c r="P33" s="1029">
        <f>M33+O33+N33</f>
        <v>2300086.6837332323</v>
      </c>
      <c r="Q33" s="1031"/>
      <c r="R33" s="1029">
        <f>J33-P33</f>
        <v>1003191.6107308213</v>
      </c>
      <c r="S33" s="1030"/>
      <c r="T33" s="1028">
        <v>0</v>
      </c>
      <c r="U33" s="1030"/>
      <c r="V33" s="1028">
        <v>0</v>
      </c>
      <c r="W33" s="1030"/>
      <c r="X33" s="1029">
        <f>R33-T33-V33</f>
        <v>1003191.6107308213</v>
      </c>
      <c r="Y33" s="1024"/>
      <c r="Z33" s="1025" t="s">
        <v>1691</v>
      </c>
      <c r="AA33" s="1026"/>
      <c r="AB33" s="1025" t="s">
        <v>1670</v>
      </c>
      <c r="AC33" s="1026"/>
      <c r="AD33" s="1027">
        <v>0</v>
      </c>
      <c r="AE33" s="1026"/>
      <c r="AF33" s="1029">
        <f>X33*AD33</f>
        <v>0</v>
      </c>
      <c r="AG33" s="1026"/>
      <c r="AH33" s="1019">
        <v>190</v>
      </c>
      <c r="AI33" s="1025"/>
    </row>
    <row r="34" spans="2:37">
      <c r="B34" s="1019">
        <f t="shared" si="9"/>
        <v>23</v>
      </c>
      <c r="C34" s="1020" t="s">
        <v>1692</v>
      </c>
      <c r="D34" s="1020" t="s">
        <v>1692</v>
      </c>
      <c r="E34" s="1021" t="s">
        <v>1668</v>
      </c>
      <c r="F34" s="1028">
        <v>5982000</v>
      </c>
      <c r="G34" s="1029">
        <f>F34*0.35</f>
        <v>2093699.9999999998</v>
      </c>
      <c r="H34" s="1028">
        <v>597601.80000000005</v>
      </c>
      <c r="I34" s="1029">
        <f>-H34*0.35</f>
        <v>-209160.63</v>
      </c>
      <c r="J34" s="1029">
        <f>G34+I34+H34</f>
        <v>2482141.17</v>
      </c>
      <c r="K34" s="1030"/>
      <c r="L34" s="1028">
        <v>5982000</v>
      </c>
      <c r="M34" s="1029">
        <f>L34*0.21</f>
        <v>1256220</v>
      </c>
      <c r="N34" s="1028">
        <v>597601.80000000005</v>
      </c>
      <c r="O34" s="1029">
        <f>-N34*0.21</f>
        <v>-125496.37800000001</v>
      </c>
      <c r="P34" s="1029">
        <f>M34+O34+N34</f>
        <v>1728325.422</v>
      </c>
      <c r="Q34" s="1031"/>
      <c r="R34" s="1029">
        <f>J34-P34</f>
        <v>753815.74799999991</v>
      </c>
      <c r="S34" s="1030"/>
      <c r="T34" s="1028">
        <v>0</v>
      </c>
      <c r="U34" s="1030"/>
      <c r="V34" s="1028">
        <v>0</v>
      </c>
      <c r="W34" s="1030"/>
      <c r="X34" s="1029">
        <f>R34-T34-V34</f>
        <v>753815.74799999991</v>
      </c>
      <c r="Y34" s="1024"/>
      <c r="Z34" s="1025" t="s">
        <v>1691</v>
      </c>
      <c r="AA34" s="1026"/>
      <c r="AB34" s="1025" t="s">
        <v>1670</v>
      </c>
      <c r="AC34" s="1026"/>
      <c r="AD34" s="1027">
        <v>0</v>
      </c>
      <c r="AE34" s="1026"/>
      <c r="AF34" s="1029">
        <f>X34*AD34</f>
        <v>0</v>
      </c>
      <c r="AG34" s="1026"/>
      <c r="AH34" s="1019">
        <v>190</v>
      </c>
      <c r="AI34" s="1025"/>
    </row>
    <row r="35" spans="2:37">
      <c r="B35" s="1019">
        <f t="shared" si="9"/>
        <v>24</v>
      </c>
      <c r="C35" s="1020" t="s">
        <v>1693</v>
      </c>
      <c r="D35" s="1020" t="s">
        <v>1693</v>
      </c>
      <c r="E35" s="1021" t="s">
        <v>1668</v>
      </c>
      <c r="F35" s="1028">
        <v>20258526.099999998</v>
      </c>
      <c r="G35" s="1029">
        <f>F35*0.35</f>
        <v>7090484.1349999988</v>
      </c>
      <c r="H35" s="1028">
        <v>2023826.7573899999</v>
      </c>
      <c r="I35" s="1029">
        <f>-H35*0.35</f>
        <v>-708339.36508649995</v>
      </c>
      <c r="J35" s="1029">
        <f>G35+I35+H35</f>
        <v>8405971.5273034982</v>
      </c>
      <c r="K35" s="1030"/>
      <c r="L35" s="1028">
        <v>20258526.099999998</v>
      </c>
      <c r="M35" s="1029">
        <f>L35*0.21</f>
        <v>4254290.4809999997</v>
      </c>
      <c r="N35" s="1028">
        <v>2023826.7573899999</v>
      </c>
      <c r="O35" s="1029">
        <f>-N35*0.21</f>
        <v>-425003.61905189999</v>
      </c>
      <c r="P35" s="1029">
        <f>M35+O35+N35</f>
        <v>5853113.6193380998</v>
      </c>
      <c r="Q35" s="1031"/>
      <c r="R35" s="1029">
        <f>J35-P35</f>
        <v>2552857.9079653984</v>
      </c>
      <c r="S35" s="1030"/>
      <c r="T35" s="1028">
        <v>0</v>
      </c>
      <c r="U35" s="1030"/>
      <c r="V35" s="1028">
        <v>0</v>
      </c>
      <c r="W35" s="1030"/>
      <c r="X35" s="1029">
        <f>R35-T35-V35</f>
        <v>2552857.9079653984</v>
      </c>
      <c r="Y35" s="1024"/>
      <c r="Z35" s="1025" t="s">
        <v>1669</v>
      </c>
      <c r="AA35" s="1026"/>
      <c r="AB35" s="1025" t="s">
        <v>1670</v>
      </c>
      <c r="AC35" s="1026"/>
      <c r="AD35" s="1027">
        <v>0</v>
      </c>
      <c r="AE35" s="1026"/>
      <c r="AF35" s="1029">
        <f>X35*AD35</f>
        <v>0</v>
      </c>
      <c r="AG35" s="1026"/>
      <c r="AH35" s="1019">
        <v>190</v>
      </c>
      <c r="AI35" s="1016"/>
    </row>
    <row r="36" spans="2:37">
      <c r="B36" s="1019">
        <f t="shared" si="9"/>
        <v>25</v>
      </c>
      <c r="C36" s="1020" t="s">
        <v>1694</v>
      </c>
      <c r="D36" s="1020" t="s">
        <v>1694</v>
      </c>
      <c r="E36" s="1021" t="s">
        <v>1668</v>
      </c>
      <c r="F36" s="1028">
        <v>0</v>
      </c>
      <c r="G36" s="1029">
        <f t="shared" si="0"/>
        <v>0</v>
      </c>
      <c r="H36" s="1028">
        <v>0</v>
      </c>
      <c r="I36" s="1029">
        <f t="shared" si="1"/>
        <v>0</v>
      </c>
      <c r="J36" s="1029">
        <f t="shared" si="8"/>
        <v>0</v>
      </c>
      <c r="K36" s="1030"/>
      <c r="L36" s="1028">
        <v>0</v>
      </c>
      <c r="M36" s="1029">
        <f t="shared" si="2"/>
        <v>0</v>
      </c>
      <c r="N36" s="1028">
        <v>0</v>
      </c>
      <c r="O36" s="1029">
        <f t="shared" si="3"/>
        <v>0</v>
      </c>
      <c r="P36" s="1029">
        <f t="shared" si="4"/>
        <v>0</v>
      </c>
      <c r="Q36" s="1031"/>
      <c r="R36" s="1029">
        <f t="shared" si="5"/>
        <v>0</v>
      </c>
      <c r="S36" s="1030"/>
      <c r="T36" s="1028">
        <v>0</v>
      </c>
      <c r="U36" s="1030"/>
      <c r="V36" s="1028">
        <v>0</v>
      </c>
      <c r="W36" s="1030"/>
      <c r="X36" s="1029">
        <f t="shared" si="6"/>
        <v>0</v>
      </c>
      <c r="Y36" s="1024"/>
      <c r="Z36" s="1025" t="s">
        <v>458</v>
      </c>
      <c r="AA36" s="1026"/>
      <c r="AB36" s="1025" t="s">
        <v>1670</v>
      </c>
      <c r="AC36" s="1026"/>
      <c r="AD36" s="1027">
        <v>0</v>
      </c>
      <c r="AE36" s="1026"/>
      <c r="AF36" s="1029">
        <f t="shared" si="7"/>
        <v>0</v>
      </c>
      <c r="AG36" s="1026"/>
      <c r="AH36" s="1019">
        <v>190</v>
      </c>
      <c r="AI36" s="1025"/>
    </row>
    <row r="37" spans="2:37">
      <c r="B37" s="1019">
        <f t="shared" si="9"/>
        <v>26</v>
      </c>
      <c r="C37" s="1020" t="s">
        <v>1695</v>
      </c>
      <c r="D37" s="1020" t="s">
        <v>1695</v>
      </c>
      <c r="E37" s="1021" t="s">
        <v>1668</v>
      </c>
      <c r="F37" s="1028">
        <v>1072962.44</v>
      </c>
      <c r="G37" s="1029">
        <f t="shared" si="0"/>
        <v>375536.85399999993</v>
      </c>
      <c r="H37" s="1028">
        <v>107188.94775599999</v>
      </c>
      <c r="I37" s="1029">
        <f t="shared" si="1"/>
        <v>-37516.131714599993</v>
      </c>
      <c r="J37" s="1029">
        <f t="shared" si="8"/>
        <v>445209.67004139989</v>
      </c>
      <c r="K37" s="1030"/>
      <c r="L37" s="1028">
        <v>1072962.44</v>
      </c>
      <c r="M37" s="1029">
        <f t="shared" si="2"/>
        <v>225322.11239999998</v>
      </c>
      <c r="N37" s="1028">
        <v>107188.94775599999</v>
      </c>
      <c r="O37" s="1029">
        <f t="shared" si="3"/>
        <v>-22509.679028759998</v>
      </c>
      <c r="P37" s="1029">
        <f t="shared" si="4"/>
        <v>310001.38112723996</v>
      </c>
      <c r="Q37" s="1031"/>
      <c r="R37" s="1029">
        <f t="shared" si="5"/>
        <v>135208.28891415993</v>
      </c>
      <c r="S37" s="1030"/>
      <c r="T37" s="1028">
        <v>0</v>
      </c>
      <c r="U37" s="1030"/>
      <c r="V37" s="1028">
        <v>0</v>
      </c>
      <c r="W37" s="1030"/>
      <c r="X37" s="1029">
        <f t="shared" si="6"/>
        <v>135208.28891415993</v>
      </c>
      <c r="Y37" s="1024"/>
      <c r="Z37" s="1025" t="s">
        <v>458</v>
      </c>
      <c r="AA37" s="1026"/>
      <c r="AB37" s="1025" t="s">
        <v>1670</v>
      </c>
      <c r="AC37" s="1026"/>
      <c r="AD37" s="1027">
        <v>0</v>
      </c>
      <c r="AE37" s="1026"/>
      <c r="AF37" s="1029">
        <f t="shared" si="7"/>
        <v>0</v>
      </c>
      <c r="AG37" s="1026"/>
      <c r="AH37" s="1019">
        <v>190</v>
      </c>
      <c r="AI37" s="1025"/>
    </row>
    <row r="38" spans="2:37">
      <c r="B38" s="1019">
        <f t="shared" si="9"/>
        <v>27</v>
      </c>
      <c r="C38" s="1020" t="s">
        <v>1696</v>
      </c>
      <c r="D38" s="1020" t="s">
        <v>1696</v>
      </c>
      <c r="E38" s="1021" t="s">
        <v>1668</v>
      </c>
      <c r="F38" s="1028">
        <v>0</v>
      </c>
      <c r="G38" s="1029">
        <f t="shared" si="0"/>
        <v>0</v>
      </c>
      <c r="H38" s="1028">
        <v>0</v>
      </c>
      <c r="I38" s="1029">
        <f t="shared" si="1"/>
        <v>0</v>
      </c>
      <c r="J38" s="1029">
        <f t="shared" si="8"/>
        <v>0</v>
      </c>
      <c r="K38" s="1030"/>
      <c r="L38" s="1028">
        <v>0</v>
      </c>
      <c r="M38" s="1029">
        <f t="shared" si="2"/>
        <v>0</v>
      </c>
      <c r="N38" s="1028">
        <v>0</v>
      </c>
      <c r="O38" s="1029">
        <f t="shared" si="3"/>
        <v>0</v>
      </c>
      <c r="P38" s="1029">
        <f t="shared" si="4"/>
        <v>0</v>
      </c>
      <c r="Q38" s="1031"/>
      <c r="R38" s="1029">
        <f t="shared" si="5"/>
        <v>0</v>
      </c>
      <c r="S38" s="1030"/>
      <c r="T38" s="1028">
        <v>0</v>
      </c>
      <c r="U38" s="1030"/>
      <c r="V38" s="1028">
        <v>0</v>
      </c>
      <c r="W38" s="1030"/>
      <c r="X38" s="1029">
        <f t="shared" si="6"/>
        <v>0</v>
      </c>
      <c r="Y38" s="1024"/>
      <c r="Z38" s="1025" t="s">
        <v>1672</v>
      </c>
      <c r="AA38" s="1026"/>
      <c r="AB38" s="1025" t="s">
        <v>1670</v>
      </c>
      <c r="AC38" s="1026"/>
      <c r="AD38" s="1027">
        <v>0</v>
      </c>
      <c r="AE38" s="1026"/>
      <c r="AF38" s="1029">
        <f t="shared" si="7"/>
        <v>0</v>
      </c>
      <c r="AG38" s="1026"/>
      <c r="AH38" s="1019">
        <v>190</v>
      </c>
      <c r="AI38" s="1025"/>
    </row>
    <row r="39" spans="2:37">
      <c r="B39" s="1019">
        <f t="shared" si="9"/>
        <v>28</v>
      </c>
      <c r="C39" s="1020" t="s">
        <v>1697</v>
      </c>
      <c r="D39" s="1020" t="s">
        <v>1697</v>
      </c>
      <c r="E39" s="1021" t="s">
        <v>1668</v>
      </c>
      <c r="F39" s="1028">
        <v>0</v>
      </c>
      <c r="G39" s="1029">
        <f t="shared" si="0"/>
        <v>0</v>
      </c>
      <c r="H39" s="1028">
        <v>9763899.3269999996</v>
      </c>
      <c r="I39" s="1029">
        <f t="shared" si="1"/>
        <v>-3417364.7644499997</v>
      </c>
      <c r="J39" s="1029">
        <f t="shared" si="8"/>
        <v>6346534.5625499999</v>
      </c>
      <c r="K39" s="1030"/>
      <c r="L39" s="1028">
        <v>0</v>
      </c>
      <c r="M39" s="1029">
        <f t="shared" si="2"/>
        <v>0</v>
      </c>
      <c r="N39" s="1028">
        <v>9763899.3269999996</v>
      </c>
      <c r="O39" s="1029">
        <f t="shared" si="3"/>
        <v>-2050418.8586699998</v>
      </c>
      <c r="P39" s="1029">
        <f t="shared" si="4"/>
        <v>7713480.4683299996</v>
      </c>
      <c r="Q39" s="1031"/>
      <c r="R39" s="1029">
        <f t="shared" si="5"/>
        <v>-1366945.9057799997</v>
      </c>
      <c r="S39" s="1030"/>
      <c r="T39" s="1028">
        <v>0</v>
      </c>
      <c r="U39" s="1030"/>
      <c r="V39" s="1028">
        <v>0</v>
      </c>
      <c r="W39" s="1030"/>
      <c r="X39" s="1029">
        <f t="shared" si="6"/>
        <v>-1366945.9057799997</v>
      </c>
      <c r="Y39" s="1024"/>
      <c r="Z39" s="1025" t="s">
        <v>458</v>
      </c>
      <c r="AA39" s="1026"/>
      <c r="AB39" s="1025" t="s">
        <v>1673</v>
      </c>
      <c r="AC39" s="1026"/>
      <c r="AD39" s="1027">
        <v>8.77774310546207E-2</v>
      </c>
      <c r="AE39" s="1026"/>
      <c r="AF39" s="1029">
        <f t="shared" si="7"/>
        <v>-119986.99999999997</v>
      </c>
      <c r="AG39" s="1026"/>
      <c r="AH39" s="1019">
        <v>190</v>
      </c>
      <c r="AI39" s="1025"/>
      <c r="AK39" s="999"/>
    </row>
    <row r="40" spans="2:37">
      <c r="B40" s="1019">
        <f t="shared" si="9"/>
        <v>29</v>
      </c>
      <c r="C40" s="1020" t="s">
        <v>1698</v>
      </c>
      <c r="D40" s="1020" t="s">
        <v>1698</v>
      </c>
      <c r="E40" s="1021" t="s">
        <v>1668</v>
      </c>
      <c r="F40" s="1028">
        <v>0</v>
      </c>
      <c r="G40" s="1029">
        <f t="shared" si="0"/>
        <v>0</v>
      </c>
      <c r="H40" s="1028">
        <v>0</v>
      </c>
      <c r="I40" s="1029">
        <f t="shared" si="1"/>
        <v>0</v>
      </c>
      <c r="J40" s="1029">
        <f t="shared" si="8"/>
        <v>0</v>
      </c>
      <c r="K40" s="1030"/>
      <c r="L40" s="1028">
        <v>0</v>
      </c>
      <c r="M40" s="1029">
        <f t="shared" si="2"/>
        <v>0</v>
      </c>
      <c r="N40" s="1028">
        <v>0</v>
      </c>
      <c r="O40" s="1029">
        <f t="shared" si="3"/>
        <v>0</v>
      </c>
      <c r="P40" s="1029">
        <f t="shared" si="4"/>
        <v>0</v>
      </c>
      <c r="Q40" s="1031"/>
      <c r="R40" s="1029">
        <f t="shared" si="5"/>
        <v>0</v>
      </c>
      <c r="S40" s="1030"/>
      <c r="T40" s="1028">
        <v>0</v>
      </c>
      <c r="U40" s="1030"/>
      <c r="V40" s="1028">
        <v>0</v>
      </c>
      <c r="W40" s="1030"/>
      <c r="X40" s="1029">
        <f t="shared" si="6"/>
        <v>0</v>
      </c>
      <c r="Y40" s="1024"/>
      <c r="Z40" s="1025" t="s">
        <v>1672</v>
      </c>
      <c r="AA40" s="1026"/>
      <c r="AB40" s="1025" t="s">
        <v>1670</v>
      </c>
      <c r="AC40" s="1026"/>
      <c r="AD40" s="1027">
        <v>0</v>
      </c>
      <c r="AE40" s="1026"/>
      <c r="AF40" s="1029">
        <f t="shared" si="7"/>
        <v>0</v>
      </c>
      <c r="AG40" s="1026"/>
      <c r="AH40" s="1019">
        <v>190</v>
      </c>
      <c r="AI40" s="1025"/>
    </row>
    <row r="41" spans="2:37">
      <c r="B41" s="1019">
        <f t="shared" si="9"/>
        <v>30</v>
      </c>
      <c r="C41" s="1020" t="s">
        <v>1699</v>
      </c>
      <c r="D41" s="1020" t="s">
        <v>1699</v>
      </c>
      <c r="E41" s="1021" t="s">
        <v>1668</v>
      </c>
      <c r="F41" s="1028">
        <v>0</v>
      </c>
      <c r="G41" s="1029">
        <f t="shared" si="0"/>
        <v>0</v>
      </c>
      <c r="H41" s="1028">
        <v>0</v>
      </c>
      <c r="I41" s="1029">
        <f t="shared" si="1"/>
        <v>0</v>
      </c>
      <c r="J41" s="1029">
        <f t="shared" si="8"/>
        <v>0</v>
      </c>
      <c r="K41" s="1030"/>
      <c r="L41" s="1028">
        <v>0</v>
      </c>
      <c r="M41" s="1029">
        <f t="shared" si="2"/>
        <v>0</v>
      </c>
      <c r="N41" s="1028">
        <v>0</v>
      </c>
      <c r="O41" s="1029">
        <f t="shared" si="3"/>
        <v>0</v>
      </c>
      <c r="P41" s="1029">
        <f t="shared" si="4"/>
        <v>0</v>
      </c>
      <c r="Q41" s="1031"/>
      <c r="R41" s="1029">
        <f t="shared" si="5"/>
        <v>0</v>
      </c>
      <c r="S41" s="1030"/>
      <c r="T41" s="1028">
        <v>0</v>
      </c>
      <c r="U41" s="1030"/>
      <c r="V41" s="1028">
        <v>0</v>
      </c>
      <c r="W41" s="1030"/>
      <c r="X41" s="1029">
        <f t="shared" si="6"/>
        <v>0</v>
      </c>
      <c r="Y41" s="1024"/>
      <c r="Z41" s="1025" t="s">
        <v>974</v>
      </c>
      <c r="AA41" s="1026"/>
      <c r="AB41" s="1025" t="s">
        <v>1670</v>
      </c>
      <c r="AC41" s="1026"/>
      <c r="AD41" s="1027">
        <v>0</v>
      </c>
      <c r="AE41" s="1026"/>
      <c r="AF41" s="1029">
        <f t="shared" si="7"/>
        <v>0</v>
      </c>
      <c r="AG41" s="1026"/>
      <c r="AH41" s="1019">
        <v>190</v>
      </c>
      <c r="AI41" s="1025"/>
    </row>
    <row r="42" spans="2:37">
      <c r="B42" s="1019">
        <f t="shared" si="9"/>
        <v>31</v>
      </c>
      <c r="C42" s="1020" t="s">
        <v>1589</v>
      </c>
      <c r="D42" s="1020" t="s">
        <v>1589</v>
      </c>
      <c r="E42" s="1021" t="s">
        <v>1668</v>
      </c>
      <c r="F42" s="1028">
        <v>319254558.13</v>
      </c>
      <c r="G42" s="1029">
        <f t="shared" si="0"/>
        <v>111739095.34549999</v>
      </c>
      <c r="H42" s="1028">
        <v>31893530.357186999</v>
      </c>
      <c r="I42" s="1029">
        <f t="shared" si="1"/>
        <v>-11162735.625015449</v>
      </c>
      <c r="J42" s="1029">
        <f t="shared" si="8"/>
        <v>132469890.07767154</v>
      </c>
      <c r="K42" s="1030"/>
      <c r="L42" s="1028">
        <v>319254558.13</v>
      </c>
      <c r="M42" s="1029">
        <f t="shared" si="2"/>
        <v>67043457.2073</v>
      </c>
      <c r="N42" s="1028">
        <v>31893530.357186999</v>
      </c>
      <c r="O42" s="1029">
        <f t="shared" si="3"/>
        <v>-6697641.3750092695</v>
      </c>
      <c r="P42" s="1029">
        <f t="shared" si="4"/>
        <v>92239346.189477727</v>
      </c>
      <c r="Q42" s="1031"/>
      <c r="R42" s="1029">
        <f t="shared" si="5"/>
        <v>40230543.888193816</v>
      </c>
      <c r="S42" s="1030"/>
      <c r="T42" s="1028">
        <v>0</v>
      </c>
      <c r="U42" s="1030"/>
      <c r="V42" s="1028">
        <v>0</v>
      </c>
      <c r="W42" s="1030"/>
      <c r="X42" s="1029">
        <f t="shared" si="6"/>
        <v>40230543.888193816</v>
      </c>
      <c r="Y42" s="1024"/>
      <c r="Z42" s="1025" t="s">
        <v>1672</v>
      </c>
      <c r="AA42" s="1026"/>
      <c r="AB42" s="1025" t="s">
        <v>1673</v>
      </c>
      <c r="AC42" s="1026"/>
      <c r="AD42" s="1027">
        <v>9.6357180000000001E-2</v>
      </c>
      <c r="AE42" s="1026"/>
      <c r="AF42" s="1029">
        <f t="shared" si="7"/>
        <v>3876501.7589325914</v>
      </c>
      <c r="AG42" s="1026"/>
      <c r="AH42" s="1019">
        <v>190</v>
      </c>
      <c r="AI42" s="1025"/>
      <c r="AK42" s="999"/>
    </row>
    <row r="43" spans="2:37">
      <c r="B43" s="1019">
        <f t="shared" si="9"/>
        <v>32</v>
      </c>
      <c r="C43" s="1020" t="s">
        <v>1700</v>
      </c>
      <c r="D43" s="1020" t="s">
        <v>1700</v>
      </c>
      <c r="E43" s="1021" t="s">
        <v>1668</v>
      </c>
      <c r="F43" s="1028">
        <v>-152696.04000000004</v>
      </c>
      <c r="G43" s="1029">
        <f t="shared" si="0"/>
        <v>-53443.614000000009</v>
      </c>
      <c r="H43" s="1028">
        <v>-15254.334396000004</v>
      </c>
      <c r="I43" s="1029">
        <f t="shared" si="1"/>
        <v>5339.0170386000009</v>
      </c>
      <c r="J43" s="1029">
        <f t="shared" si="8"/>
        <v>-63358.931357400012</v>
      </c>
      <c r="K43" s="1030"/>
      <c r="L43" s="1028">
        <v>-152696.04000000004</v>
      </c>
      <c r="M43" s="1029">
        <f t="shared" si="2"/>
        <v>-32066.168400000006</v>
      </c>
      <c r="N43" s="1028">
        <v>-15254.334396000004</v>
      </c>
      <c r="O43" s="1029">
        <f t="shared" si="3"/>
        <v>3203.4102231600009</v>
      </c>
      <c r="P43" s="1029">
        <f t="shared" si="4"/>
        <v>-44117.092572840011</v>
      </c>
      <c r="Q43" s="1031"/>
      <c r="R43" s="1029">
        <f t="shared" si="5"/>
        <v>-19241.838784560001</v>
      </c>
      <c r="S43" s="1030"/>
      <c r="T43" s="1028">
        <v>-19241.838784560001</v>
      </c>
      <c r="U43" s="1030"/>
      <c r="V43" s="1028">
        <v>0</v>
      </c>
      <c r="W43" s="1030"/>
      <c r="X43" s="1029">
        <f t="shared" si="6"/>
        <v>0</v>
      </c>
      <c r="Y43" s="1024"/>
      <c r="Z43" s="1025" t="s">
        <v>974</v>
      </c>
      <c r="AA43" s="1026"/>
      <c r="AB43" s="1025" t="s">
        <v>1670</v>
      </c>
      <c r="AC43" s="1026"/>
      <c r="AD43" s="1027">
        <v>0</v>
      </c>
      <c r="AE43" s="1026"/>
      <c r="AF43" s="1029">
        <f t="shared" si="7"/>
        <v>0</v>
      </c>
      <c r="AG43" s="1026"/>
      <c r="AH43" s="1019">
        <v>190</v>
      </c>
      <c r="AI43" s="1025"/>
    </row>
    <row r="44" spans="2:37">
      <c r="B44" s="1019">
        <f t="shared" si="9"/>
        <v>33</v>
      </c>
      <c r="C44" s="1020" t="s">
        <v>1701</v>
      </c>
      <c r="D44" s="1020" t="s">
        <v>1701</v>
      </c>
      <c r="E44" s="1021" t="s">
        <v>1668</v>
      </c>
      <c r="F44" s="1028">
        <v>0</v>
      </c>
      <c r="G44" s="1029">
        <f t="shared" si="0"/>
        <v>0</v>
      </c>
      <c r="H44" s="1028">
        <v>0</v>
      </c>
      <c r="I44" s="1029">
        <f t="shared" si="1"/>
        <v>0</v>
      </c>
      <c r="J44" s="1029">
        <f t="shared" si="8"/>
        <v>0</v>
      </c>
      <c r="K44" s="1030"/>
      <c r="L44" s="1028">
        <v>0</v>
      </c>
      <c r="M44" s="1029">
        <f t="shared" si="2"/>
        <v>0</v>
      </c>
      <c r="N44" s="1028">
        <v>0</v>
      </c>
      <c r="O44" s="1029">
        <f t="shared" si="3"/>
        <v>0</v>
      </c>
      <c r="P44" s="1029">
        <f t="shared" si="4"/>
        <v>0</v>
      </c>
      <c r="Q44" s="1031"/>
      <c r="R44" s="1029">
        <f t="shared" si="5"/>
        <v>0</v>
      </c>
      <c r="S44" s="1030"/>
      <c r="T44" s="1028">
        <v>0</v>
      </c>
      <c r="U44" s="1030"/>
      <c r="V44" s="1028">
        <v>0</v>
      </c>
      <c r="W44" s="1030"/>
      <c r="X44" s="1029">
        <f t="shared" si="6"/>
        <v>0</v>
      </c>
      <c r="Y44" s="1024"/>
      <c r="Z44" s="1025" t="s">
        <v>1669</v>
      </c>
      <c r="AA44" s="1026"/>
      <c r="AB44" s="1025" t="s">
        <v>1670</v>
      </c>
      <c r="AC44" s="1026"/>
      <c r="AD44" s="1027">
        <v>0</v>
      </c>
      <c r="AE44" s="1026"/>
      <c r="AF44" s="1029">
        <f t="shared" si="7"/>
        <v>0</v>
      </c>
      <c r="AG44" s="1026"/>
      <c r="AH44" s="1019">
        <v>190</v>
      </c>
      <c r="AI44" s="1025"/>
    </row>
    <row r="45" spans="2:37">
      <c r="B45" s="1019">
        <f t="shared" si="9"/>
        <v>34</v>
      </c>
      <c r="C45" s="1020" t="s">
        <v>1702</v>
      </c>
      <c r="D45" s="1020" t="s">
        <v>1702</v>
      </c>
      <c r="E45" s="1021" t="s">
        <v>1668</v>
      </c>
      <c r="F45" s="1028">
        <v>-2221282.8515309626</v>
      </c>
      <c r="G45" s="1029">
        <f t="shared" si="0"/>
        <v>-777448.99803583685</v>
      </c>
      <c r="H45" s="1028">
        <v>-221906.15686794318</v>
      </c>
      <c r="I45" s="1029">
        <f t="shared" si="1"/>
        <v>77667.154903780101</v>
      </c>
      <c r="J45" s="1029">
        <f t="shared" si="8"/>
        <v>-921688</v>
      </c>
      <c r="K45" s="1030"/>
      <c r="L45" s="1028">
        <v>-2221282.8515309626</v>
      </c>
      <c r="M45" s="1029">
        <f t="shared" si="2"/>
        <v>-466469.39882150211</v>
      </c>
      <c r="N45" s="1028">
        <v>-221906.15686794318</v>
      </c>
      <c r="O45" s="1029">
        <f t="shared" si="3"/>
        <v>46600.292942268068</v>
      </c>
      <c r="P45" s="1029">
        <f t="shared" si="4"/>
        <v>-641775.26274717716</v>
      </c>
      <c r="Q45" s="1031"/>
      <c r="R45" s="1029">
        <f t="shared" si="5"/>
        <v>-279912.73725282284</v>
      </c>
      <c r="S45" s="1030"/>
      <c r="T45" s="1028">
        <v>0</v>
      </c>
      <c r="U45" s="1030"/>
      <c r="V45" s="1028">
        <v>0</v>
      </c>
      <c r="W45" s="1030"/>
      <c r="X45" s="1029">
        <f t="shared" si="6"/>
        <v>-279912.73725282284</v>
      </c>
      <c r="Y45" s="1024"/>
      <c r="Z45" s="1025" t="s">
        <v>1672</v>
      </c>
      <c r="AA45" s="1026"/>
      <c r="AB45" s="1025" t="s">
        <v>1670</v>
      </c>
      <c r="AC45" s="1026"/>
      <c r="AD45" s="1027">
        <v>0</v>
      </c>
      <c r="AE45" s="1026"/>
      <c r="AF45" s="1029">
        <f t="shared" si="7"/>
        <v>0</v>
      </c>
      <c r="AG45" s="1026"/>
      <c r="AH45" s="1019">
        <v>190</v>
      </c>
      <c r="AI45" s="1025"/>
    </row>
    <row r="46" spans="2:37">
      <c r="B46" s="1019">
        <f t="shared" si="9"/>
        <v>35</v>
      </c>
      <c r="C46" s="1020" t="s">
        <v>1703</v>
      </c>
      <c r="D46" s="1020" t="s">
        <v>1703</v>
      </c>
      <c r="E46" s="1021" t="s">
        <v>1668</v>
      </c>
      <c r="F46" s="1028">
        <v>2452335</v>
      </c>
      <c r="G46" s="1029">
        <f t="shared" si="0"/>
        <v>858317.25</v>
      </c>
      <c r="H46" s="1028">
        <v>244988.2665</v>
      </c>
      <c r="I46" s="1029">
        <f t="shared" si="1"/>
        <v>-85745.893274999995</v>
      </c>
      <c r="J46" s="1029">
        <f t="shared" si="8"/>
        <v>1017559.623225</v>
      </c>
      <c r="K46" s="1030"/>
      <c r="L46" s="1028">
        <v>2452335</v>
      </c>
      <c r="M46" s="1029">
        <f t="shared" si="2"/>
        <v>514990.35</v>
      </c>
      <c r="N46" s="1028">
        <v>244988.2665</v>
      </c>
      <c r="O46" s="1029">
        <f t="shared" si="3"/>
        <v>-51447.535964999995</v>
      </c>
      <c r="P46" s="1029">
        <f t="shared" si="4"/>
        <v>708531.08053499996</v>
      </c>
      <c r="Q46" s="1031"/>
      <c r="R46" s="1029">
        <f t="shared" si="5"/>
        <v>309028.54269000003</v>
      </c>
      <c r="S46" s="1030"/>
      <c r="T46" s="1028">
        <v>0</v>
      </c>
      <c r="U46" s="1030"/>
      <c r="V46" s="1028">
        <v>0</v>
      </c>
      <c r="W46" s="1030"/>
      <c r="X46" s="1029">
        <f t="shared" si="6"/>
        <v>309028.54269000003</v>
      </c>
      <c r="Y46" s="1024"/>
      <c r="Z46" s="1025" t="s">
        <v>1691</v>
      </c>
      <c r="AA46" s="1026"/>
      <c r="AB46" s="1025" t="s">
        <v>1670</v>
      </c>
      <c r="AC46" s="1026"/>
      <c r="AD46" s="1027">
        <v>0</v>
      </c>
      <c r="AE46" s="1026"/>
      <c r="AF46" s="1029">
        <f t="shared" si="7"/>
        <v>0</v>
      </c>
      <c r="AG46" s="1026"/>
      <c r="AH46" s="1019">
        <v>190</v>
      </c>
      <c r="AI46" s="1025"/>
    </row>
    <row r="47" spans="2:37">
      <c r="B47" s="1019">
        <f t="shared" si="9"/>
        <v>36</v>
      </c>
      <c r="C47" s="1020" t="s">
        <v>1704</v>
      </c>
      <c r="D47" s="1020" t="s">
        <v>1704</v>
      </c>
      <c r="E47" s="1021" t="s">
        <v>1668</v>
      </c>
      <c r="F47" s="1028">
        <v>15440812.449999996</v>
      </c>
      <c r="G47" s="1029">
        <f t="shared" si="0"/>
        <v>5404284.3574999981</v>
      </c>
      <c r="H47" s="1028">
        <v>1542537.1637549996</v>
      </c>
      <c r="I47" s="1029">
        <f t="shared" si="1"/>
        <v>-539888.00731424987</v>
      </c>
      <c r="J47" s="1029">
        <f t="shared" si="8"/>
        <v>6406933.5139407478</v>
      </c>
      <c r="K47" s="1030"/>
      <c r="L47" s="1028">
        <v>15440812.449999996</v>
      </c>
      <c r="M47" s="1029">
        <f t="shared" si="2"/>
        <v>3242570.6144999987</v>
      </c>
      <c r="N47" s="1028">
        <v>1542537.1637549996</v>
      </c>
      <c r="O47" s="1029">
        <f t="shared" si="3"/>
        <v>-323932.80438854994</v>
      </c>
      <c r="P47" s="1029">
        <f t="shared" si="4"/>
        <v>4461174.9738664478</v>
      </c>
      <c r="Q47" s="1031"/>
      <c r="R47" s="1029">
        <f t="shared" si="5"/>
        <v>1945758.5400743</v>
      </c>
      <c r="S47" s="1030"/>
      <c r="T47" s="1028">
        <v>0</v>
      </c>
      <c r="U47" s="1030"/>
      <c r="V47" s="1028">
        <v>0</v>
      </c>
      <c r="W47" s="1030"/>
      <c r="X47" s="1029">
        <f t="shared" si="6"/>
        <v>1945758.5400743</v>
      </c>
      <c r="Y47" s="1024"/>
      <c r="Z47" s="1025" t="s">
        <v>1669</v>
      </c>
      <c r="AA47" s="1026"/>
      <c r="AB47" s="1025" t="s">
        <v>1670</v>
      </c>
      <c r="AC47" s="1026"/>
      <c r="AD47" s="1027">
        <v>0</v>
      </c>
      <c r="AE47" s="1026"/>
      <c r="AF47" s="1029">
        <f t="shared" si="7"/>
        <v>0</v>
      </c>
      <c r="AG47" s="1026"/>
      <c r="AH47" s="1019">
        <v>190</v>
      </c>
      <c r="AI47" s="1025"/>
    </row>
    <row r="48" spans="2:37">
      <c r="B48" s="1019">
        <f t="shared" si="9"/>
        <v>37</v>
      </c>
      <c r="C48" s="1020" t="s">
        <v>1705</v>
      </c>
      <c r="D48" s="1020" t="s">
        <v>1705</v>
      </c>
      <c r="E48" s="1021" t="s">
        <v>1668</v>
      </c>
      <c r="F48" s="1028">
        <v>0</v>
      </c>
      <c r="G48" s="1029">
        <f t="shared" si="0"/>
        <v>0</v>
      </c>
      <c r="H48" s="1028">
        <v>0</v>
      </c>
      <c r="I48" s="1029">
        <f t="shared" si="1"/>
        <v>0</v>
      </c>
      <c r="J48" s="1029">
        <f t="shared" si="8"/>
        <v>0</v>
      </c>
      <c r="K48" s="1030"/>
      <c r="L48" s="1028">
        <v>0</v>
      </c>
      <c r="M48" s="1029">
        <f t="shared" si="2"/>
        <v>0</v>
      </c>
      <c r="N48" s="1028">
        <v>0</v>
      </c>
      <c r="O48" s="1029">
        <f t="shared" si="3"/>
        <v>0</v>
      </c>
      <c r="P48" s="1029">
        <f t="shared" si="4"/>
        <v>0</v>
      </c>
      <c r="Q48" s="1031"/>
      <c r="R48" s="1029">
        <f t="shared" si="5"/>
        <v>0</v>
      </c>
      <c r="S48" s="1030"/>
      <c r="T48" s="1028">
        <v>0</v>
      </c>
      <c r="U48" s="1030"/>
      <c r="V48" s="1028">
        <v>0</v>
      </c>
      <c r="W48" s="1030"/>
      <c r="X48" s="1029">
        <f t="shared" si="6"/>
        <v>0</v>
      </c>
      <c r="Y48" s="1024"/>
      <c r="Z48" s="1025" t="s">
        <v>974</v>
      </c>
      <c r="AA48" s="1026"/>
      <c r="AB48" s="1025" t="s">
        <v>1670</v>
      </c>
      <c r="AC48" s="1026"/>
      <c r="AD48" s="1027">
        <v>0</v>
      </c>
      <c r="AE48" s="1026"/>
      <c r="AF48" s="1029">
        <f t="shared" si="7"/>
        <v>0</v>
      </c>
      <c r="AG48" s="1026"/>
      <c r="AH48" s="1019">
        <v>190</v>
      </c>
      <c r="AI48" s="1025"/>
    </row>
    <row r="49" spans="2:35">
      <c r="B49" s="1019">
        <f t="shared" si="9"/>
        <v>38</v>
      </c>
      <c r="C49" s="1020" t="s">
        <v>1706</v>
      </c>
      <c r="D49" s="1020" t="s">
        <v>1706</v>
      </c>
      <c r="E49" s="1021" t="s">
        <v>1668</v>
      </c>
      <c r="F49" s="1028">
        <v>0</v>
      </c>
      <c r="G49" s="1029">
        <f t="shared" si="0"/>
        <v>0</v>
      </c>
      <c r="H49" s="1028">
        <v>0</v>
      </c>
      <c r="I49" s="1029">
        <f t="shared" si="1"/>
        <v>0</v>
      </c>
      <c r="J49" s="1029">
        <f t="shared" si="8"/>
        <v>0</v>
      </c>
      <c r="K49" s="1030"/>
      <c r="L49" s="1028">
        <v>0</v>
      </c>
      <c r="M49" s="1029">
        <f t="shared" si="2"/>
        <v>0</v>
      </c>
      <c r="N49" s="1028">
        <v>0</v>
      </c>
      <c r="O49" s="1029">
        <f t="shared" si="3"/>
        <v>0</v>
      </c>
      <c r="P49" s="1029">
        <f t="shared" si="4"/>
        <v>0</v>
      </c>
      <c r="Q49" s="1031"/>
      <c r="R49" s="1029">
        <f t="shared" si="5"/>
        <v>0</v>
      </c>
      <c r="S49" s="1030"/>
      <c r="T49" s="1028">
        <v>0</v>
      </c>
      <c r="U49" s="1030"/>
      <c r="V49" s="1028">
        <v>0</v>
      </c>
      <c r="W49" s="1030"/>
      <c r="X49" s="1029">
        <f t="shared" si="6"/>
        <v>0</v>
      </c>
      <c r="Y49" s="1024"/>
      <c r="Z49" s="1025" t="s">
        <v>1669</v>
      </c>
      <c r="AA49" s="1026"/>
      <c r="AB49" s="1025" t="s">
        <v>1670</v>
      </c>
      <c r="AC49" s="1026"/>
      <c r="AD49" s="1027">
        <v>0</v>
      </c>
      <c r="AE49" s="1026"/>
      <c r="AF49" s="1029">
        <f t="shared" si="7"/>
        <v>0</v>
      </c>
      <c r="AG49" s="1026"/>
      <c r="AH49" s="1019">
        <v>190</v>
      </c>
      <c r="AI49" s="1025"/>
    </row>
    <row r="50" spans="2:35">
      <c r="B50" s="1019">
        <f t="shared" si="9"/>
        <v>39</v>
      </c>
      <c r="C50" s="1020" t="s">
        <v>1707</v>
      </c>
      <c r="D50" s="1020" t="s">
        <v>1707</v>
      </c>
      <c r="E50" s="1021" t="s">
        <v>1668</v>
      </c>
      <c r="F50" s="1028">
        <v>248687.4</v>
      </c>
      <c r="G50" s="1029">
        <f t="shared" si="0"/>
        <v>87040.59</v>
      </c>
      <c r="H50" s="1028">
        <v>24843.87126</v>
      </c>
      <c r="I50" s="1029">
        <f t="shared" si="1"/>
        <v>-8695.3549409999996</v>
      </c>
      <c r="J50" s="1029">
        <f t="shared" si="8"/>
        <v>103189.106319</v>
      </c>
      <c r="K50" s="1030"/>
      <c r="L50" s="1028">
        <v>248687.4</v>
      </c>
      <c r="M50" s="1029">
        <f t="shared" si="2"/>
        <v>52224.353999999999</v>
      </c>
      <c r="N50" s="1028">
        <v>24843.87126</v>
      </c>
      <c r="O50" s="1029">
        <f t="shared" si="3"/>
        <v>-5217.2129645999994</v>
      </c>
      <c r="P50" s="1029">
        <f t="shared" si="4"/>
        <v>71851.012295399996</v>
      </c>
      <c r="Q50" s="1031"/>
      <c r="R50" s="1029">
        <f t="shared" si="5"/>
        <v>31338.094023600002</v>
      </c>
      <c r="S50" s="1030"/>
      <c r="T50" s="1028">
        <v>0</v>
      </c>
      <c r="U50" s="1030"/>
      <c r="V50" s="1028">
        <v>0</v>
      </c>
      <c r="W50" s="1030"/>
      <c r="X50" s="1029">
        <f t="shared" si="6"/>
        <v>31338.094023600002</v>
      </c>
      <c r="Y50" s="1024"/>
      <c r="Z50" s="1025" t="s">
        <v>1672</v>
      </c>
      <c r="AA50" s="1026"/>
      <c r="AB50" s="1025" t="s">
        <v>1673</v>
      </c>
      <c r="AC50" s="1026"/>
      <c r="AD50" s="1027">
        <v>9.7549301167911162E-2</v>
      </c>
      <c r="AE50" s="1026"/>
      <c r="AF50" s="1029">
        <f t="shared" si="7"/>
        <v>3057.0091719364736</v>
      </c>
      <c r="AG50" s="1026"/>
      <c r="AH50" s="1019">
        <v>190</v>
      </c>
      <c r="AI50" s="1025"/>
    </row>
    <row r="51" spans="2:35">
      <c r="B51" s="1019">
        <f t="shared" si="9"/>
        <v>40</v>
      </c>
      <c r="C51" s="1020" t="s">
        <v>1708</v>
      </c>
      <c r="D51" s="1020" t="s">
        <v>1708</v>
      </c>
      <c r="E51" s="1021" t="s">
        <v>1668</v>
      </c>
      <c r="F51" s="1028">
        <v>4064327.6399999997</v>
      </c>
      <c r="G51" s="1029">
        <f t="shared" si="0"/>
        <v>1422514.6739999999</v>
      </c>
      <c r="H51" s="1028">
        <v>406026.331236</v>
      </c>
      <c r="I51" s="1029">
        <f t="shared" si="1"/>
        <v>-142109.2159326</v>
      </c>
      <c r="J51" s="1029">
        <f t="shared" si="8"/>
        <v>1686431.7893033999</v>
      </c>
      <c r="K51" s="1030"/>
      <c r="L51" s="1028">
        <v>4064327.6399999997</v>
      </c>
      <c r="M51" s="1029">
        <f t="shared" si="2"/>
        <v>853508.80439999991</v>
      </c>
      <c r="N51" s="1028">
        <v>406026.331236</v>
      </c>
      <c r="O51" s="1029">
        <f t="shared" si="3"/>
        <v>-85265.529559560004</v>
      </c>
      <c r="P51" s="1029">
        <f t="shared" si="4"/>
        <v>1174269.6060764398</v>
      </c>
      <c r="Q51" s="1031"/>
      <c r="R51" s="1029">
        <f t="shared" si="5"/>
        <v>512162.18322696001</v>
      </c>
      <c r="S51" s="1030"/>
      <c r="T51" s="1028">
        <v>0</v>
      </c>
      <c r="U51" s="1030"/>
      <c r="V51" s="1028">
        <v>0</v>
      </c>
      <c r="W51" s="1030"/>
      <c r="X51" s="1029">
        <f t="shared" si="6"/>
        <v>512162.18322696001</v>
      </c>
      <c r="Y51" s="1024"/>
      <c r="Z51" s="1025" t="s">
        <v>1669</v>
      </c>
      <c r="AA51" s="1026"/>
      <c r="AB51" s="1025" t="s">
        <v>1670</v>
      </c>
      <c r="AC51" s="1026"/>
      <c r="AD51" s="1027">
        <v>0</v>
      </c>
      <c r="AE51" s="1026"/>
      <c r="AF51" s="1029">
        <f t="shared" si="7"/>
        <v>0</v>
      </c>
      <c r="AG51" s="1026"/>
      <c r="AH51" s="1019">
        <v>190</v>
      </c>
      <c r="AI51" s="1025"/>
    </row>
    <row r="52" spans="2:35">
      <c r="B52" s="1019">
        <f t="shared" si="9"/>
        <v>41</v>
      </c>
      <c r="C52" s="1020" t="s">
        <v>1709</v>
      </c>
      <c r="D52" s="1020" t="s">
        <v>1709</v>
      </c>
      <c r="E52" s="1021" t="s">
        <v>1668</v>
      </c>
      <c r="F52" s="1028">
        <v>5402597.2800000012</v>
      </c>
      <c r="G52" s="1029">
        <f t="shared" si="0"/>
        <v>1890909.0480000002</v>
      </c>
      <c r="H52" s="1028">
        <v>539719.46827200009</v>
      </c>
      <c r="I52" s="1029">
        <f t="shared" si="1"/>
        <v>-188901.81389520003</v>
      </c>
      <c r="J52" s="1029">
        <f t="shared" si="8"/>
        <v>2241726.7023768001</v>
      </c>
      <c r="K52" s="1030"/>
      <c r="L52" s="1028">
        <v>5402597.2800000012</v>
      </c>
      <c r="M52" s="1029">
        <f t="shared" si="2"/>
        <v>1134545.4288000001</v>
      </c>
      <c r="N52" s="1028">
        <v>539719.46827200009</v>
      </c>
      <c r="O52" s="1029">
        <f t="shared" si="3"/>
        <v>-113341.08833712002</v>
      </c>
      <c r="P52" s="1029">
        <f t="shared" si="4"/>
        <v>1560923.8087348803</v>
      </c>
      <c r="Q52" s="1031"/>
      <c r="R52" s="1029">
        <f t="shared" si="5"/>
        <v>680802.89364191983</v>
      </c>
      <c r="S52" s="1030"/>
      <c r="T52" s="1028">
        <v>0</v>
      </c>
      <c r="U52" s="1030"/>
      <c r="V52" s="1028">
        <v>0</v>
      </c>
      <c r="W52" s="1030"/>
      <c r="X52" s="1029">
        <f t="shared" si="6"/>
        <v>680802.89364191983</v>
      </c>
      <c r="Y52" s="1024"/>
      <c r="Z52" s="1025" t="s">
        <v>1669</v>
      </c>
      <c r="AA52" s="1026"/>
      <c r="AB52" s="1025" t="s">
        <v>1670</v>
      </c>
      <c r="AC52" s="1026"/>
      <c r="AD52" s="1027">
        <v>0</v>
      </c>
      <c r="AE52" s="1026"/>
      <c r="AF52" s="1029">
        <f t="shared" si="7"/>
        <v>0</v>
      </c>
      <c r="AG52" s="1026"/>
      <c r="AH52" s="1019">
        <v>190</v>
      </c>
      <c r="AI52" s="1025"/>
    </row>
    <row r="53" spans="2:35">
      <c r="B53" s="1019">
        <f t="shared" si="9"/>
        <v>42</v>
      </c>
      <c r="C53" s="1020" t="s">
        <v>1710</v>
      </c>
      <c r="D53" s="1020" t="s">
        <v>1710</v>
      </c>
      <c r="E53" s="1021" t="s">
        <v>1668</v>
      </c>
      <c r="F53" s="1028">
        <v>43592914.299999997</v>
      </c>
      <c r="G53" s="1029">
        <f t="shared" si="0"/>
        <v>15257520.004999997</v>
      </c>
      <c r="H53" s="1028">
        <v>4354932.1385699995</v>
      </c>
      <c r="I53" s="1029">
        <f t="shared" si="1"/>
        <v>-1524226.2484994996</v>
      </c>
      <c r="J53" s="1029">
        <f t="shared" si="8"/>
        <v>18088225.895070497</v>
      </c>
      <c r="K53" s="1030"/>
      <c r="L53" s="1028">
        <v>43592914.299999997</v>
      </c>
      <c r="M53" s="1029">
        <f t="shared" si="2"/>
        <v>9154512.0029999986</v>
      </c>
      <c r="N53" s="1028">
        <v>4354932.1385699995</v>
      </c>
      <c r="O53" s="1029">
        <f t="shared" si="3"/>
        <v>-914535.7490996999</v>
      </c>
      <c r="P53" s="1029">
        <f t="shared" si="4"/>
        <v>12594908.392470298</v>
      </c>
      <c r="Q53" s="1031"/>
      <c r="R53" s="1029">
        <f t="shared" si="5"/>
        <v>5493317.5026001986</v>
      </c>
      <c r="S53" s="1030"/>
      <c r="T53" s="1028">
        <v>0</v>
      </c>
      <c r="U53" s="1030"/>
      <c r="V53" s="1028">
        <v>0</v>
      </c>
      <c r="W53" s="1030"/>
      <c r="X53" s="1029">
        <f t="shared" si="6"/>
        <v>5493317.5026001986</v>
      </c>
      <c r="Y53" s="1024"/>
      <c r="Z53" s="1025" t="s">
        <v>1672</v>
      </c>
      <c r="AA53" s="1026"/>
      <c r="AB53" s="1025" t="s">
        <v>1673</v>
      </c>
      <c r="AC53" s="1026"/>
      <c r="AD53" s="1027">
        <v>9.7000028034058827E-2</v>
      </c>
      <c r="AE53" s="1026"/>
      <c r="AF53" s="1029">
        <f t="shared" si="7"/>
        <v>532851.95175220526</v>
      </c>
      <c r="AG53" s="1026"/>
      <c r="AH53" s="1019">
        <v>190</v>
      </c>
      <c r="AI53" s="1025"/>
    </row>
    <row r="54" spans="2:35">
      <c r="B54" s="1019">
        <f t="shared" si="9"/>
        <v>43</v>
      </c>
      <c r="C54" s="1032" t="s">
        <v>1711</v>
      </c>
      <c r="D54" s="1025"/>
      <c r="E54" s="1025"/>
      <c r="F54" s="1033">
        <f>SUM(F12:F53)</f>
        <v>649841628.80418336</v>
      </c>
      <c r="G54" s="1033">
        <f>SUM(G12:G53)</f>
        <v>227444570.08146414</v>
      </c>
      <c r="H54" s="1033">
        <f>SUM(H12:H53)</f>
        <v>73140104.633895069</v>
      </c>
      <c r="I54" s="1033">
        <f>SUM(I12:I53)</f>
        <v>-25599036.621863268</v>
      </c>
      <c r="J54" s="1033">
        <f>SUM(J12:J53)</f>
        <v>274985638.09349597</v>
      </c>
      <c r="K54" s="1024"/>
      <c r="L54" s="1033">
        <f>SUM(L12:L53)</f>
        <v>649841628.80418336</v>
      </c>
      <c r="M54" s="1033">
        <f>SUM(M12:M53)</f>
        <v>136466742.04887849</v>
      </c>
      <c r="N54" s="1033">
        <f>SUM(N12:N53)</f>
        <v>73140104.633895069</v>
      </c>
      <c r="O54" s="1033">
        <f>SUM(O12:O53)</f>
        <v>-15359421.973117959</v>
      </c>
      <c r="P54" s="1033">
        <f>SUM(P12:P53)</f>
        <v>194247424.70965558</v>
      </c>
      <c r="R54" s="1033">
        <f t="shared" ref="R54:X54" si="10">SUM(R12:R53)</f>
        <v>80738213.383840337</v>
      </c>
      <c r="S54" s="1033">
        <f t="shared" si="10"/>
        <v>0</v>
      </c>
      <c r="T54" s="1033">
        <f t="shared" si="10"/>
        <v>16288641.169844957</v>
      </c>
      <c r="U54" s="1033">
        <f t="shared" si="10"/>
        <v>0</v>
      </c>
      <c r="V54" s="1033">
        <f t="shared" si="10"/>
        <v>0</v>
      </c>
      <c r="W54" s="1034">
        <f t="shared" si="10"/>
        <v>0</v>
      </c>
      <c r="X54" s="1033">
        <f t="shared" si="10"/>
        <v>64449572.21399539</v>
      </c>
      <c r="Y54" s="1024"/>
      <c r="Z54" s="1025"/>
      <c r="AA54" s="1026"/>
      <c r="AB54" s="1025"/>
      <c r="AC54" s="1026"/>
      <c r="AD54" s="1027"/>
      <c r="AE54" s="1026"/>
      <c r="AF54" s="1033">
        <f>SUM(AF12:AF53)</f>
        <v>4978212.5817966843</v>
      </c>
      <c r="AG54" s="1026"/>
      <c r="AI54" s="1025"/>
    </row>
    <row r="55" spans="2:35">
      <c r="B55" s="1019"/>
      <c r="C55" s="1025"/>
      <c r="D55" s="1025"/>
      <c r="E55" s="1025"/>
      <c r="F55" s="1023"/>
      <c r="G55" s="1023"/>
      <c r="H55" s="1023"/>
      <c r="I55" s="1023"/>
      <c r="J55" s="1023"/>
      <c r="K55" s="1024"/>
      <c r="L55" s="1023"/>
      <c r="M55" s="1023"/>
      <c r="N55" s="1023"/>
      <c r="O55" s="1023"/>
      <c r="P55" s="1023"/>
      <c r="R55" s="1023"/>
      <c r="S55" s="1024"/>
      <c r="T55" s="1023"/>
      <c r="U55" s="1024"/>
      <c r="V55" s="1023"/>
      <c r="W55" s="1024"/>
      <c r="X55" s="1023"/>
      <c r="Y55" s="1024"/>
      <c r="Z55" s="1025"/>
      <c r="AA55" s="1026"/>
      <c r="AB55" s="1025"/>
      <c r="AC55" s="1026"/>
      <c r="AD55" s="1027"/>
      <c r="AE55" s="1026"/>
      <c r="AF55" s="1023"/>
      <c r="AG55" s="1026"/>
      <c r="AI55" s="1025"/>
    </row>
    <row r="56" spans="2:35">
      <c r="B56" s="1019"/>
      <c r="C56" s="1025"/>
      <c r="D56" s="1025"/>
      <c r="E56" s="1025"/>
      <c r="F56" s="1023"/>
      <c r="G56" s="1023"/>
      <c r="H56" s="1023"/>
      <c r="I56" s="1023"/>
      <c r="J56" s="1023"/>
      <c r="K56" s="1024"/>
      <c r="L56" s="1023"/>
      <c r="M56" s="1023"/>
      <c r="N56" s="1023"/>
      <c r="O56" s="1023"/>
      <c r="P56" s="1023"/>
      <c r="R56" s="1023"/>
      <c r="S56" s="1024"/>
      <c r="T56" s="1023"/>
      <c r="U56" s="1024"/>
      <c r="V56" s="1023"/>
      <c r="W56" s="1024"/>
      <c r="X56" s="1023"/>
      <c r="Y56" s="1024"/>
      <c r="Z56" s="1025"/>
      <c r="AA56" s="1026"/>
      <c r="AB56" s="1025"/>
      <c r="AC56" s="1026"/>
      <c r="AD56" s="1027"/>
      <c r="AE56" s="1026"/>
      <c r="AF56" s="1023"/>
      <c r="AG56" s="1026"/>
      <c r="AI56" s="1025"/>
    </row>
    <row r="57" spans="2:35" ht="14">
      <c r="B57" s="1019"/>
      <c r="C57" s="1035" t="s">
        <v>1712</v>
      </c>
      <c r="D57" s="1025"/>
      <c r="E57" s="1025"/>
      <c r="F57" s="1023"/>
      <c r="G57" s="1023"/>
      <c r="H57" s="1023"/>
      <c r="I57" s="1023"/>
      <c r="J57" s="1023"/>
      <c r="K57" s="1024"/>
      <c r="L57" s="1023"/>
      <c r="M57" s="1023"/>
      <c r="N57" s="1023"/>
      <c r="O57" s="1023"/>
      <c r="P57" s="1023"/>
      <c r="R57" s="1023"/>
      <c r="S57" s="1024"/>
      <c r="T57" s="1023"/>
      <c r="U57" s="1024"/>
      <c r="V57" s="1023"/>
      <c r="W57" s="1024"/>
      <c r="X57" s="1023"/>
      <c r="Y57" s="1024"/>
      <c r="Z57" s="1025"/>
      <c r="AA57" s="1026"/>
      <c r="AB57" s="1025"/>
      <c r="AC57" s="1026"/>
      <c r="AD57" s="1027"/>
      <c r="AE57" s="1026"/>
      <c r="AF57" s="1023"/>
      <c r="AG57" s="1026"/>
      <c r="AI57" s="1025"/>
    </row>
    <row r="58" spans="2:35">
      <c r="B58" s="1019">
        <f>B54+1</f>
        <v>44</v>
      </c>
      <c r="C58" s="1020" t="s">
        <v>1713</v>
      </c>
      <c r="D58" s="1020" t="s">
        <v>1713</v>
      </c>
      <c r="E58" s="1021"/>
      <c r="F58" s="1036"/>
      <c r="G58" s="1023"/>
      <c r="H58" s="1037"/>
      <c r="I58" s="1023"/>
      <c r="J58" s="1023"/>
      <c r="K58" s="1024"/>
      <c r="L58" s="1037"/>
      <c r="M58" s="1023"/>
      <c r="N58" s="1037"/>
      <c r="O58" s="1023"/>
      <c r="P58" s="1023"/>
      <c r="R58" s="1023"/>
      <c r="S58" s="1024"/>
      <c r="T58" s="1037"/>
      <c r="U58" s="1024"/>
      <c r="V58" s="1037"/>
      <c r="W58" s="1024"/>
      <c r="X58" s="1023"/>
      <c r="Y58" s="1024"/>
      <c r="Z58" s="1025"/>
      <c r="AA58" s="1026"/>
      <c r="AB58" s="1025"/>
      <c r="AC58" s="1026"/>
      <c r="AD58" s="1027"/>
      <c r="AE58" s="1026"/>
      <c r="AF58" s="1023"/>
      <c r="AG58" s="1026"/>
      <c r="AH58" s="1038"/>
      <c r="AI58" s="1016"/>
    </row>
    <row r="59" spans="2:35">
      <c r="B59" s="1019">
        <f>B58+1</f>
        <v>45</v>
      </c>
      <c r="C59" s="1020" t="s">
        <v>702</v>
      </c>
      <c r="D59" s="1020" t="s">
        <v>702</v>
      </c>
      <c r="E59" s="1021" t="s">
        <v>1163</v>
      </c>
      <c r="F59" s="1022">
        <v>-85010674.257142857</v>
      </c>
      <c r="G59" s="1023">
        <f t="shared" ref="G59:G63" si="11">F59*0.35</f>
        <v>-29753735.989999998</v>
      </c>
      <c r="H59" s="1022">
        <v>0</v>
      </c>
      <c r="I59" s="1023">
        <f t="shared" ref="I59:I63" si="12">-H59*0.35</f>
        <v>0</v>
      </c>
      <c r="J59" s="1023">
        <f t="shared" ref="J59:J63" si="13">G59+I59+H59</f>
        <v>-29753735.989999998</v>
      </c>
      <c r="K59" s="1024"/>
      <c r="L59" s="1022">
        <v>-85010674.257142857</v>
      </c>
      <c r="M59" s="1023">
        <f t="shared" ref="M59:M63" si="14">L59*0.21</f>
        <v>-17852241.594000001</v>
      </c>
      <c r="N59" s="1022">
        <v>0</v>
      </c>
      <c r="O59" s="1023">
        <f t="shared" ref="O59:O63" si="15">-N59*0.21</f>
        <v>0</v>
      </c>
      <c r="P59" s="1023">
        <f t="shared" ref="P59:P63" si="16">M59+O59+N59</f>
        <v>-17852241.594000001</v>
      </c>
      <c r="R59" s="1023">
        <f t="shared" ref="R59:R63" si="17">J59-P59</f>
        <v>-11901494.395999998</v>
      </c>
      <c r="S59" s="1024"/>
      <c r="T59" s="1022">
        <v>0</v>
      </c>
      <c r="U59" s="1024"/>
      <c r="V59" s="1022">
        <v>0</v>
      </c>
      <c r="W59" s="1024"/>
      <c r="X59" s="1023">
        <f t="shared" ref="X59:X63" si="18">R59-T59-V59</f>
        <v>-11901494.395999998</v>
      </c>
      <c r="Y59" s="1024"/>
      <c r="Z59" s="1025" t="s">
        <v>458</v>
      </c>
      <c r="AA59" s="1026"/>
      <c r="AB59" s="1025" t="s">
        <v>1673</v>
      </c>
      <c r="AC59" s="1026"/>
      <c r="AD59" s="1027">
        <v>7.7147891971118529E-2</v>
      </c>
      <c r="AE59" s="1026"/>
      <c r="AF59" s="1023">
        <f t="shared" ref="AF59:AF81" si="19">X59*AD59</f>
        <v>-918175.20395748038</v>
      </c>
      <c r="AG59" s="1026"/>
      <c r="AH59" s="1019">
        <v>282</v>
      </c>
      <c r="AI59" s="1016"/>
    </row>
    <row r="60" spans="2:35">
      <c r="B60" s="1019">
        <f t="shared" ref="B60:B82" si="20">B59+1</f>
        <v>46</v>
      </c>
      <c r="C60" s="1020" t="s">
        <v>1714</v>
      </c>
      <c r="D60" s="1020" t="s">
        <v>1714</v>
      </c>
      <c r="E60" s="1021" t="s">
        <v>1163</v>
      </c>
      <c r="F60" s="1028">
        <v>-2276638655.8857141</v>
      </c>
      <c r="G60" s="1029">
        <f t="shared" si="11"/>
        <v>-796823529.55999982</v>
      </c>
      <c r="H60" s="1028">
        <v>0</v>
      </c>
      <c r="I60" s="1029">
        <f t="shared" si="12"/>
        <v>0</v>
      </c>
      <c r="J60" s="1029">
        <f t="shared" si="13"/>
        <v>-796823529.55999982</v>
      </c>
      <c r="K60" s="1030"/>
      <c r="L60" s="1028">
        <v>-2276638655.8857141</v>
      </c>
      <c r="M60" s="1029">
        <f t="shared" si="14"/>
        <v>-478094117.73599994</v>
      </c>
      <c r="N60" s="1028">
        <v>0</v>
      </c>
      <c r="O60" s="1029">
        <f t="shared" si="15"/>
        <v>0</v>
      </c>
      <c r="P60" s="1029">
        <f t="shared" si="16"/>
        <v>-478094117.73599994</v>
      </c>
      <c r="Q60" s="1031"/>
      <c r="R60" s="1029">
        <f t="shared" si="17"/>
        <v>-318729411.82399988</v>
      </c>
      <c r="S60" s="1030"/>
      <c r="T60" s="1028">
        <v>0</v>
      </c>
      <c r="U60" s="1030"/>
      <c r="V60" s="1028">
        <v>0</v>
      </c>
      <c r="W60" s="1024"/>
      <c r="X60" s="1029">
        <f t="shared" si="18"/>
        <v>-318729411.82399988</v>
      </c>
      <c r="Y60" s="1024"/>
      <c r="Z60" s="1025" t="s">
        <v>458</v>
      </c>
      <c r="AA60" s="1026"/>
      <c r="AB60" s="1025" t="s">
        <v>1670</v>
      </c>
      <c r="AC60" s="1026"/>
      <c r="AD60" s="1027">
        <v>0</v>
      </c>
      <c r="AE60" s="1026"/>
      <c r="AF60" s="1029">
        <f t="shared" si="19"/>
        <v>0</v>
      </c>
      <c r="AG60" s="1026"/>
      <c r="AH60" s="1019">
        <v>282</v>
      </c>
      <c r="AI60" s="1016"/>
    </row>
    <row r="61" spans="2:35">
      <c r="B61" s="1019">
        <f t="shared" si="20"/>
        <v>47</v>
      </c>
      <c r="C61" s="1020" t="s">
        <v>880</v>
      </c>
      <c r="D61" s="1020" t="s">
        <v>880</v>
      </c>
      <c r="E61" s="1021" t="s">
        <v>1163</v>
      </c>
      <c r="F61" s="1028">
        <v>-12026775.657142859</v>
      </c>
      <c r="G61" s="1029">
        <f t="shared" si="11"/>
        <v>-4209371.4800000004</v>
      </c>
      <c r="H61" s="1028">
        <v>0</v>
      </c>
      <c r="I61" s="1029">
        <f t="shared" si="12"/>
        <v>0</v>
      </c>
      <c r="J61" s="1029">
        <f t="shared" si="13"/>
        <v>-4209371.4800000004</v>
      </c>
      <c r="K61" s="1030"/>
      <c r="L61" s="1028">
        <v>-12026775.657142859</v>
      </c>
      <c r="M61" s="1029">
        <f t="shared" si="14"/>
        <v>-2525622.8880000003</v>
      </c>
      <c r="N61" s="1028">
        <v>0</v>
      </c>
      <c r="O61" s="1029">
        <f t="shared" si="15"/>
        <v>0</v>
      </c>
      <c r="P61" s="1029">
        <f t="shared" si="16"/>
        <v>-2525622.8880000003</v>
      </c>
      <c r="Q61" s="1031"/>
      <c r="R61" s="1029">
        <f t="shared" si="17"/>
        <v>-1683748.5920000002</v>
      </c>
      <c r="S61" s="1030"/>
      <c r="T61" s="1028">
        <v>0</v>
      </c>
      <c r="U61" s="1030"/>
      <c r="V61" s="1028">
        <v>0</v>
      </c>
      <c r="W61" s="1024"/>
      <c r="X61" s="1029">
        <f t="shared" si="18"/>
        <v>-1683748.5920000002</v>
      </c>
      <c r="Y61" s="1024"/>
      <c r="Z61" s="1025" t="s">
        <v>458</v>
      </c>
      <c r="AA61" s="1026"/>
      <c r="AB61" s="1025" t="s">
        <v>1673</v>
      </c>
      <c r="AC61" s="1026"/>
      <c r="AD61" s="1027">
        <v>9.880621410235467E-2</v>
      </c>
      <c r="AE61" s="1026"/>
      <c r="AF61" s="1029">
        <f t="shared" si="19"/>
        <v>-166364.82387569023</v>
      </c>
      <c r="AG61" s="1026"/>
      <c r="AH61" s="1019">
        <v>282</v>
      </c>
      <c r="AI61" s="1016"/>
    </row>
    <row r="62" spans="2:35">
      <c r="B62" s="1019">
        <f t="shared" si="20"/>
        <v>48</v>
      </c>
      <c r="C62" s="1020" t="s">
        <v>17</v>
      </c>
      <c r="D62" s="1020" t="s">
        <v>17</v>
      </c>
      <c r="E62" s="1021" t="s">
        <v>1163</v>
      </c>
      <c r="F62" s="1028">
        <v>-569476514.37142861</v>
      </c>
      <c r="G62" s="1029">
        <f t="shared" si="11"/>
        <v>-199316780.03</v>
      </c>
      <c r="H62" s="1028">
        <v>0</v>
      </c>
      <c r="I62" s="1029">
        <f t="shared" si="12"/>
        <v>0</v>
      </c>
      <c r="J62" s="1029">
        <f t="shared" si="13"/>
        <v>-199316780.03</v>
      </c>
      <c r="K62" s="1030"/>
      <c r="L62" s="1028">
        <v>-569476514.37142861</v>
      </c>
      <c r="M62" s="1029">
        <f t="shared" si="14"/>
        <v>-119590068.01800001</v>
      </c>
      <c r="N62" s="1028">
        <v>0</v>
      </c>
      <c r="O62" s="1029">
        <f t="shared" si="15"/>
        <v>0</v>
      </c>
      <c r="P62" s="1029">
        <f t="shared" si="16"/>
        <v>-119590068.01800001</v>
      </c>
      <c r="Q62" s="1031"/>
      <c r="R62" s="1029">
        <f t="shared" si="17"/>
        <v>-79726712.011999995</v>
      </c>
      <c r="S62" s="1030"/>
      <c r="T62" s="1028">
        <v>0</v>
      </c>
      <c r="U62" s="1030"/>
      <c r="V62" s="1028">
        <v>0</v>
      </c>
      <c r="W62" s="1024"/>
      <c r="X62" s="1029">
        <f t="shared" si="18"/>
        <v>-79726712.011999995</v>
      </c>
      <c r="Y62" s="1024"/>
      <c r="Z62" s="1025" t="s">
        <v>853</v>
      </c>
      <c r="AA62" s="1026"/>
      <c r="AB62" s="1025" t="s">
        <v>1673</v>
      </c>
      <c r="AC62" s="1026"/>
      <c r="AD62" s="1027">
        <v>1</v>
      </c>
      <c r="AE62" s="1026"/>
      <c r="AF62" s="1029">
        <f t="shared" si="19"/>
        <v>-79726712.011999995</v>
      </c>
      <c r="AG62" s="1026"/>
      <c r="AH62" s="1019">
        <v>282</v>
      </c>
      <c r="AI62" s="1025"/>
    </row>
    <row r="63" spans="2:35">
      <c r="B63" s="1019">
        <f t="shared" si="20"/>
        <v>49</v>
      </c>
      <c r="C63" s="1020" t="s">
        <v>1715</v>
      </c>
      <c r="D63" s="1020" t="s">
        <v>1715</v>
      </c>
      <c r="E63" s="1021" t="s">
        <v>1163</v>
      </c>
      <c r="F63" s="1028">
        <v>-924863698.57142866</v>
      </c>
      <c r="G63" s="1029">
        <f t="shared" si="11"/>
        <v>-323702294.5</v>
      </c>
      <c r="H63" s="1028">
        <v>0</v>
      </c>
      <c r="I63" s="1029">
        <f t="shared" si="12"/>
        <v>0</v>
      </c>
      <c r="J63" s="1029">
        <f t="shared" si="13"/>
        <v>-323702294.5</v>
      </c>
      <c r="K63" s="1030"/>
      <c r="L63" s="1028">
        <v>-924863698.57142866</v>
      </c>
      <c r="M63" s="1029">
        <f t="shared" si="14"/>
        <v>-194221376.70000002</v>
      </c>
      <c r="N63" s="1028">
        <v>0</v>
      </c>
      <c r="O63" s="1029">
        <f t="shared" si="15"/>
        <v>0</v>
      </c>
      <c r="P63" s="1029">
        <f t="shared" si="16"/>
        <v>-194221376.70000002</v>
      </c>
      <c r="Q63" s="1031"/>
      <c r="R63" s="1029">
        <f t="shared" si="17"/>
        <v>-129480917.79999998</v>
      </c>
      <c r="S63" s="1030"/>
      <c r="T63" s="1028">
        <v>0</v>
      </c>
      <c r="U63" s="1030"/>
      <c r="V63" s="1028">
        <v>0</v>
      </c>
      <c r="W63" s="1024"/>
      <c r="X63" s="1029">
        <f t="shared" si="18"/>
        <v>-129480917.79999998</v>
      </c>
      <c r="Y63" s="1024"/>
      <c r="Z63" s="1025" t="s">
        <v>458</v>
      </c>
      <c r="AA63" s="1026"/>
      <c r="AB63" s="1025" t="s">
        <v>1670</v>
      </c>
      <c r="AC63" s="1026"/>
      <c r="AD63" s="1027">
        <v>0</v>
      </c>
      <c r="AE63" s="1026"/>
      <c r="AF63" s="1029">
        <f t="shared" si="19"/>
        <v>0</v>
      </c>
      <c r="AG63" s="1026"/>
      <c r="AH63" s="1019">
        <v>282</v>
      </c>
      <c r="AI63" s="1025"/>
    </row>
    <row r="64" spans="2:35">
      <c r="B64" s="1019">
        <f t="shared" si="20"/>
        <v>50</v>
      </c>
      <c r="C64" s="1020"/>
      <c r="D64" s="1020"/>
      <c r="E64" s="1021"/>
      <c r="F64" s="1028"/>
      <c r="G64" s="1029"/>
      <c r="H64" s="1028"/>
      <c r="I64" s="1029"/>
      <c r="J64" s="1029"/>
      <c r="K64" s="1030"/>
      <c r="L64" s="1028"/>
      <c r="M64" s="1029"/>
      <c r="N64" s="1028"/>
      <c r="O64" s="1029"/>
      <c r="P64" s="1029"/>
      <c r="Q64" s="1031"/>
      <c r="R64" s="1029"/>
      <c r="S64" s="1030"/>
      <c r="T64" s="1028"/>
      <c r="U64" s="1030"/>
      <c r="V64" s="1028"/>
      <c r="W64" s="1024"/>
      <c r="X64" s="1029"/>
      <c r="Y64" s="1024"/>
      <c r="Z64" s="1025"/>
      <c r="AA64" s="1026"/>
      <c r="AB64" s="1025"/>
      <c r="AC64" s="1026"/>
      <c r="AD64" s="1027"/>
      <c r="AE64" s="1026"/>
      <c r="AF64" s="1029"/>
      <c r="AG64" s="1026"/>
      <c r="AH64" s="1038"/>
      <c r="AI64" s="1016"/>
    </row>
    <row r="65" spans="2:35">
      <c r="B65" s="1019">
        <f t="shared" si="20"/>
        <v>51</v>
      </c>
      <c r="C65" s="1020" t="s">
        <v>1713</v>
      </c>
      <c r="D65" s="1020" t="s">
        <v>1713</v>
      </c>
      <c r="E65" s="1021"/>
      <c r="F65" s="1028"/>
      <c r="G65" s="1029"/>
      <c r="H65" s="1028"/>
      <c r="I65" s="1029"/>
      <c r="J65" s="1029"/>
      <c r="K65" s="1030"/>
      <c r="L65" s="1028"/>
      <c r="M65" s="1029"/>
      <c r="N65" s="1028"/>
      <c r="O65" s="1029"/>
      <c r="P65" s="1029"/>
      <c r="Q65" s="1031"/>
      <c r="R65" s="1029"/>
      <c r="S65" s="1030"/>
      <c r="T65" s="1028"/>
      <c r="U65" s="1030"/>
      <c r="V65" s="1028"/>
      <c r="W65" s="1024"/>
      <c r="X65" s="1029"/>
      <c r="Y65" s="1024"/>
      <c r="Z65" s="1025"/>
      <c r="AA65" s="1026"/>
      <c r="AB65" s="1025"/>
      <c r="AC65" s="1026"/>
      <c r="AD65" s="1027"/>
      <c r="AE65" s="1026"/>
      <c r="AF65" s="1029"/>
      <c r="AG65" s="1026"/>
      <c r="AH65" s="1038"/>
      <c r="AI65" s="1016"/>
    </row>
    <row r="66" spans="2:35">
      <c r="B66" s="1019">
        <f t="shared" si="20"/>
        <v>52</v>
      </c>
      <c r="C66" s="1020" t="s">
        <v>702</v>
      </c>
      <c r="D66" s="1020" t="s">
        <v>702</v>
      </c>
      <c r="E66" s="1021" t="s">
        <v>1716</v>
      </c>
      <c r="F66" s="1028">
        <v>14122235.599999992</v>
      </c>
      <c r="G66" s="1029">
        <f t="shared" ref="G66:G71" si="21">F66*0.35</f>
        <v>4942782.4599999972</v>
      </c>
      <c r="H66" s="1028">
        <v>0</v>
      </c>
      <c r="I66" s="1029">
        <f t="shared" ref="I66:I71" si="22">-H66*0.35</f>
        <v>0</v>
      </c>
      <c r="J66" s="1029">
        <f t="shared" ref="J66:J71" si="23">G66+I66+H66</f>
        <v>4942782.4599999972</v>
      </c>
      <c r="K66" s="1030"/>
      <c r="L66" s="1028">
        <v>14122235.599999992</v>
      </c>
      <c r="M66" s="1029">
        <f t="shared" ref="M66:M71" si="24">L66*0.21</f>
        <v>2965669.4759999984</v>
      </c>
      <c r="N66" s="1028">
        <v>0</v>
      </c>
      <c r="O66" s="1029">
        <f t="shared" ref="O66:O71" si="25">-N66*0.21</f>
        <v>0</v>
      </c>
      <c r="P66" s="1029">
        <f t="shared" ref="P66:P71" si="26">M66+O66+N66</f>
        <v>2965669.4759999984</v>
      </c>
      <c r="Q66" s="1031"/>
      <c r="R66" s="1029">
        <f t="shared" ref="R66:R71" si="27">J66-P66</f>
        <v>1977112.9839999988</v>
      </c>
      <c r="S66" s="1030"/>
      <c r="T66" s="1028">
        <v>0</v>
      </c>
      <c r="U66" s="1030"/>
      <c r="V66" s="1028">
        <v>0</v>
      </c>
      <c r="W66" s="1024"/>
      <c r="X66" s="1029">
        <f t="shared" ref="X66:X71" si="28">R66-T66-V66</f>
        <v>1977112.9839999988</v>
      </c>
      <c r="Y66" s="1024"/>
      <c r="Z66" s="1025" t="s">
        <v>458</v>
      </c>
      <c r="AA66" s="1026"/>
      <c r="AB66" s="1025" t="s">
        <v>1670</v>
      </c>
      <c r="AC66" s="1026"/>
      <c r="AD66" s="1027">
        <v>0</v>
      </c>
      <c r="AE66" s="1026"/>
      <c r="AF66" s="1029">
        <f t="shared" si="19"/>
        <v>0</v>
      </c>
      <c r="AG66" s="1026"/>
      <c r="AH66" s="1019">
        <v>282</v>
      </c>
      <c r="AI66" s="1016"/>
    </row>
    <row r="67" spans="2:35">
      <c r="B67" s="1019">
        <f t="shared" si="20"/>
        <v>53</v>
      </c>
      <c r="C67" s="1020" t="s">
        <v>1714</v>
      </c>
      <c r="D67" s="1020" t="s">
        <v>1714</v>
      </c>
      <c r="E67" s="1021" t="s">
        <v>1716</v>
      </c>
      <c r="F67" s="1028">
        <v>-349743571.94285738</v>
      </c>
      <c r="G67" s="1029">
        <f t="shared" si="21"/>
        <v>-122410250.18000008</v>
      </c>
      <c r="H67" s="1028">
        <v>0</v>
      </c>
      <c r="I67" s="1029">
        <f t="shared" si="22"/>
        <v>0</v>
      </c>
      <c r="J67" s="1029">
        <f t="shared" si="23"/>
        <v>-122410250.18000008</v>
      </c>
      <c r="K67" s="1030"/>
      <c r="L67" s="1028">
        <v>-349743571.94285738</v>
      </c>
      <c r="M67" s="1029">
        <f t="shared" si="24"/>
        <v>-73446150.108000055</v>
      </c>
      <c r="N67" s="1028">
        <v>0</v>
      </c>
      <c r="O67" s="1029">
        <f t="shared" si="25"/>
        <v>0</v>
      </c>
      <c r="P67" s="1029">
        <f t="shared" si="26"/>
        <v>-73446150.108000055</v>
      </c>
      <c r="Q67" s="1031"/>
      <c r="R67" s="1029">
        <f t="shared" si="27"/>
        <v>-48964100.072000027</v>
      </c>
      <c r="S67" s="1030"/>
      <c r="T67" s="1028">
        <v>0</v>
      </c>
      <c r="U67" s="1030"/>
      <c r="V67" s="1028">
        <v>0</v>
      </c>
      <c r="W67" s="1024"/>
      <c r="X67" s="1029">
        <f t="shared" si="28"/>
        <v>-48964100.072000027</v>
      </c>
      <c r="Y67" s="1024"/>
      <c r="Z67" s="1025" t="s">
        <v>458</v>
      </c>
      <c r="AA67" s="1026"/>
      <c r="AB67" s="1025" t="s">
        <v>1670</v>
      </c>
      <c r="AC67" s="1026"/>
      <c r="AD67" s="1027">
        <v>0</v>
      </c>
      <c r="AE67" s="1026"/>
      <c r="AF67" s="1029">
        <f t="shared" si="19"/>
        <v>0</v>
      </c>
      <c r="AG67" s="1026"/>
      <c r="AH67" s="1019">
        <v>282</v>
      </c>
      <c r="AI67" s="1016"/>
    </row>
    <row r="68" spans="2:35">
      <c r="B68" s="1019">
        <f t="shared" si="20"/>
        <v>54</v>
      </c>
      <c r="C68" s="1020" t="s">
        <v>880</v>
      </c>
      <c r="D68" s="1020" t="s">
        <v>880</v>
      </c>
      <c r="E68" s="1021" t="s">
        <v>1716</v>
      </c>
      <c r="F68" s="1028">
        <v>73002.714285716153</v>
      </c>
      <c r="G68" s="1029">
        <f t="shared" si="21"/>
        <v>25550.950000000652</v>
      </c>
      <c r="H68" s="1028">
        <v>0</v>
      </c>
      <c r="I68" s="1029">
        <f t="shared" si="22"/>
        <v>0</v>
      </c>
      <c r="J68" s="1029">
        <f t="shared" si="23"/>
        <v>25550.950000000652</v>
      </c>
      <c r="K68" s="1030"/>
      <c r="L68" s="1028">
        <v>73002.714285716153</v>
      </c>
      <c r="M68" s="1029">
        <f t="shared" si="24"/>
        <v>15330.570000000391</v>
      </c>
      <c r="N68" s="1028">
        <v>0</v>
      </c>
      <c r="O68" s="1029">
        <f t="shared" si="25"/>
        <v>0</v>
      </c>
      <c r="P68" s="1029">
        <f t="shared" si="26"/>
        <v>15330.570000000391</v>
      </c>
      <c r="Q68" s="1031"/>
      <c r="R68" s="1029">
        <f t="shared" si="27"/>
        <v>10220.380000000261</v>
      </c>
      <c r="S68" s="1030"/>
      <c r="T68" s="1028">
        <v>0</v>
      </c>
      <c r="U68" s="1030"/>
      <c r="V68" s="1028">
        <v>0</v>
      </c>
      <c r="W68" s="1024"/>
      <c r="X68" s="1029">
        <f t="shared" si="28"/>
        <v>10220.380000000261</v>
      </c>
      <c r="Y68" s="1024"/>
      <c r="Z68" s="1025" t="s">
        <v>458</v>
      </c>
      <c r="AA68" s="1026"/>
      <c r="AB68" s="1025" t="s">
        <v>1670</v>
      </c>
      <c r="AC68" s="1026"/>
      <c r="AD68" s="1027">
        <v>0</v>
      </c>
      <c r="AE68" s="1026"/>
      <c r="AF68" s="1029">
        <f t="shared" si="19"/>
        <v>0</v>
      </c>
      <c r="AG68" s="1026"/>
      <c r="AH68" s="1019">
        <v>282</v>
      </c>
      <c r="AI68" s="1016"/>
    </row>
    <row r="69" spans="2:35">
      <c r="B69" s="1019">
        <f t="shared" si="20"/>
        <v>55</v>
      </c>
      <c r="C69" s="1020" t="s">
        <v>17</v>
      </c>
      <c r="D69" s="1020" t="s">
        <v>17</v>
      </c>
      <c r="E69" s="1021" t="s">
        <v>1716</v>
      </c>
      <c r="F69" s="1028">
        <v>-157866615.54285717</v>
      </c>
      <c r="G69" s="1029">
        <f t="shared" si="21"/>
        <v>-55253315.440000005</v>
      </c>
      <c r="H69" s="1028">
        <v>0</v>
      </c>
      <c r="I69" s="1029">
        <f t="shared" si="22"/>
        <v>0</v>
      </c>
      <c r="J69" s="1029">
        <f t="shared" si="23"/>
        <v>-55253315.440000005</v>
      </c>
      <c r="K69" s="1030"/>
      <c r="L69" s="1028">
        <v>-157866615.54285717</v>
      </c>
      <c r="M69" s="1029">
        <f t="shared" si="24"/>
        <v>-33151989.264000006</v>
      </c>
      <c r="N69" s="1028">
        <v>0</v>
      </c>
      <c r="O69" s="1029">
        <f t="shared" si="25"/>
        <v>0</v>
      </c>
      <c r="P69" s="1029">
        <f t="shared" si="26"/>
        <v>-33151989.264000006</v>
      </c>
      <c r="Q69" s="1031"/>
      <c r="R69" s="1029">
        <f t="shared" si="27"/>
        <v>-22101326.175999999</v>
      </c>
      <c r="S69" s="1030"/>
      <c r="T69" s="1028">
        <v>0</v>
      </c>
      <c r="U69" s="1030"/>
      <c r="V69" s="1028">
        <v>0</v>
      </c>
      <c r="W69" s="1024"/>
      <c r="X69" s="1029">
        <f t="shared" si="28"/>
        <v>-22101326.175999999</v>
      </c>
      <c r="Y69" s="1024"/>
      <c r="Z69" s="1025" t="s">
        <v>853</v>
      </c>
      <c r="AA69" s="1026"/>
      <c r="AB69" s="1025" t="s">
        <v>1673</v>
      </c>
      <c r="AC69" s="1026"/>
      <c r="AD69" s="1027">
        <v>1</v>
      </c>
      <c r="AE69" s="1026"/>
      <c r="AF69" s="1029">
        <f t="shared" si="19"/>
        <v>-22101326.175999999</v>
      </c>
      <c r="AG69" s="1026"/>
      <c r="AH69" s="1019">
        <v>282</v>
      </c>
      <c r="AI69" s="1016"/>
    </row>
    <row r="70" spans="2:35">
      <c r="B70" s="1019">
        <f t="shared" si="20"/>
        <v>56</v>
      </c>
      <c r="C70" s="1020" t="s">
        <v>1717</v>
      </c>
      <c r="D70" s="1020" t="s">
        <v>1717</v>
      </c>
      <c r="E70" s="1021" t="s">
        <v>1716</v>
      </c>
      <c r="F70" s="1028">
        <v>21063877</v>
      </c>
      <c r="G70" s="1029">
        <f t="shared" si="21"/>
        <v>7372356.9499999993</v>
      </c>
      <c r="H70" s="1028">
        <v>0</v>
      </c>
      <c r="I70" s="1029">
        <f t="shared" si="22"/>
        <v>0</v>
      </c>
      <c r="J70" s="1029">
        <f t="shared" si="23"/>
        <v>7372356.9499999993</v>
      </c>
      <c r="K70" s="1030"/>
      <c r="L70" s="1028">
        <v>21063877</v>
      </c>
      <c r="M70" s="1029">
        <f t="shared" si="24"/>
        <v>4423414.17</v>
      </c>
      <c r="N70" s="1028">
        <v>0</v>
      </c>
      <c r="O70" s="1029">
        <f t="shared" si="25"/>
        <v>0</v>
      </c>
      <c r="P70" s="1029">
        <f t="shared" si="26"/>
        <v>4423414.17</v>
      </c>
      <c r="Q70" s="1031"/>
      <c r="R70" s="1029">
        <f t="shared" si="27"/>
        <v>2948942.7799999993</v>
      </c>
      <c r="S70" s="1030"/>
      <c r="T70" s="1028">
        <v>0</v>
      </c>
      <c r="U70" s="1030"/>
      <c r="V70" s="1028">
        <v>0</v>
      </c>
      <c r="W70" s="1024"/>
      <c r="X70" s="1029">
        <f t="shared" si="28"/>
        <v>2948942.7799999993</v>
      </c>
      <c r="Y70" s="1024"/>
      <c r="Z70" s="1025" t="s">
        <v>458</v>
      </c>
      <c r="AA70" s="1026"/>
      <c r="AB70" s="1025" t="s">
        <v>1670</v>
      </c>
      <c r="AC70" s="1026"/>
      <c r="AD70" s="1027">
        <v>0</v>
      </c>
      <c r="AE70" s="1026"/>
      <c r="AF70" s="1029">
        <f t="shared" si="19"/>
        <v>0</v>
      </c>
      <c r="AG70" s="1026"/>
      <c r="AH70" s="1019">
        <v>282</v>
      </c>
      <c r="AI70" s="1016"/>
    </row>
    <row r="71" spans="2:35">
      <c r="B71" s="1019">
        <f t="shared" si="20"/>
        <v>57</v>
      </c>
      <c r="C71" s="1020" t="s">
        <v>1715</v>
      </c>
      <c r="D71" s="1020" t="s">
        <v>1715</v>
      </c>
      <c r="E71" s="1021" t="s">
        <v>1716</v>
      </c>
      <c r="F71" s="1028">
        <v>-107769783.68571435</v>
      </c>
      <c r="G71" s="1029">
        <f t="shared" si="21"/>
        <v>-37719424.290000021</v>
      </c>
      <c r="H71" s="1028">
        <v>0</v>
      </c>
      <c r="I71" s="1029">
        <f t="shared" si="22"/>
        <v>0</v>
      </c>
      <c r="J71" s="1029">
        <f t="shared" si="23"/>
        <v>-37719424.290000021</v>
      </c>
      <c r="K71" s="1030"/>
      <c r="L71" s="1028">
        <v>-107769783.68571435</v>
      </c>
      <c r="M71" s="1029">
        <f t="shared" si="24"/>
        <v>-22631654.574000012</v>
      </c>
      <c r="N71" s="1028">
        <v>0</v>
      </c>
      <c r="O71" s="1029">
        <f t="shared" si="25"/>
        <v>0</v>
      </c>
      <c r="P71" s="1029">
        <f t="shared" si="26"/>
        <v>-22631654.574000012</v>
      </c>
      <c r="Q71" s="1031"/>
      <c r="R71" s="1029">
        <f t="shared" si="27"/>
        <v>-15087769.716000009</v>
      </c>
      <c r="S71" s="1030"/>
      <c r="T71" s="1028">
        <v>0</v>
      </c>
      <c r="U71" s="1030"/>
      <c r="V71" s="1028">
        <v>0</v>
      </c>
      <c r="W71" s="1024"/>
      <c r="X71" s="1029">
        <f t="shared" si="28"/>
        <v>-15087769.716000009</v>
      </c>
      <c r="Y71" s="1024"/>
      <c r="Z71" s="1025" t="s">
        <v>458</v>
      </c>
      <c r="AA71" s="1026"/>
      <c r="AB71" s="1025" t="s">
        <v>1670</v>
      </c>
      <c r="AC71" s="1026"/>
      <c r="AD71" s="1027">
        <v>0</v>
      </c>
      <c r="AE71" s="1026"/>
      <c r="AF71" s="1029">
        <f t="shared" si="19"/>
        <v>0</v>
      </c>
      <c r="AG71" s="1026"/>
      <c r="AH71" s="1019">
        <v>282</v>
      </c>
      <c r="AI71" s="1016"/>
    </row>
    <row r="72" spans="2:35">
      <c r="B72" s="1019">
        <f t="shared" si="20"/>
        <v>58</v>
      </c>
      <c r="C72" s="1020"/>
      <c r="D72" s="1020"/>
      <c r="E72" s="1021"/>
      <c r="F72" s="1028"/>
      <c r="G72" s="1029"/>
      <c r="H72" s="1028"/>
      <c r="I72" s="1029"/>
      <c r="J72" s="1029"/>
      <c r="K72" s="1030"/>
      <c r="L72" s="1028">
        <v>0</v>
      </c>
      <c r="M72" s="1029"/>
      <c r="N72" s="1028"/>
      <c r="O72" s="1029"/>
      <c r="P72" s="1029"/>
      <c r="Q72" s="1031"/>
      <c r="R72" s="1029"/>
      <c r="S72" s="1030"/>
      <c r="T72" s="1028"/>
      <c r="U72" s="1030"/>
      <c r="V72" s="1028"/>
      <c r="W72" s="1024"/>
      <c r="X72" s="1029"/>
      <c r="Y72" s="1024"/>
      <c r="Z72" s="1025"/>
      <c r="AA72" s="1026"/>
      <c r="AB72" s="1025"/>
      <c r="AC72" s="1026"/>
      <c r="AD72" s="1027"/>
      <c r="AE72" s="1026"/>
      <c r="AF72" s="1029"/>
      <c r="AG72" s="1026"/>
      <c r="AH72" s="1038"/>
      <c r="AI72" s="1016"/>
    </row>
    <row r="73" spans="2:35">
      <c r="B73" s="1019">
        <f t="shared" si="20"/>
        <v>59</v>
      </c>
      <c r="C73" s="1020" t="s">
        <v>1718</v>
      </c>
      <c r="D73" s="1020" t="s">
        <v>1718</v>
      </c>
      <c r="E73" s="1021"/>
      <c r="F73" s="1028"/>
      <c r="G73" s="1029"/>
      <c r="H73" s="1028"/>
      <c r="I73" s="1029"/>
      <c r="J73" s="1029"/>
      <c r="K73" s="1030"/>
      <c r="L73" s="1028"/>
      <c r="M73" s="1029"/>
      <c r="N73" s="1028"/>
      <c r="O73" s="1029"/>
      <c r="P73" s="1029"/>
      <c r="Q73" s="1031"/>
      <c r="R73" s="1029"/>
      <c r="S73" s="1030"/>
      <c r="T73" s="1028"/>
      <c r="U73" s="1030"/>
      <c r="V73" s="1028"/>
      <c r="W73" s="1024"/>
      <c r="X73" s="1029"/>
      <c r="Y73" s="1024"/>
      <c r="Z73" s="1025"/>
      <c r="AA73" s="1026"/>
      <c r="AB73" s="1025"/>
      <c r="AC73" s="1026"/>
      <c r="AD73" s="1027"/>
      <c r="AE73" s="1026"/>
      <c r="AF73" s="1029"/>
      <c r="AG73" s="1026"/>
      <c r="AH73" s="1038"/>
      <c r="AI73" s="1016"/>
    </row>
    <row r="74" spans="2:35">
      <c r="B74" s="1019">
        <f t="shared" si="20"/>
        <v>60</v>
      </c>
      <c r="C74" s="1020" t="s">
        <v>702</v>
      </c>
      <c r="D74" s="1020" t="s">
        <v>702</v>
      </c>
      <c r="E74" s="1021" t="s">
        <v>1716</v>
      </c>
      <c r="F74" s="1028"/>
      <c r="G74" s="1029">
        <f t="shared" ref="G74:G79" si="29">F74*0.35</f>
        <v>0</v>
      </c>
      <c r="H74" s="1028">
        <v>1312540.0571428575</v>
      </c>
      <c r="I74" s="1029">
        <f t="shared" ref="I74:I79" si="30">-H74*0.35</f>
        <v>-459389.02000000008</v>
      </c>
      <c r="J74" s="1029">
        <f t="shared" ref="J74:J79" si="31">G74+I74+H74</f>
        <v>853151.03714285744</v>
      </c>
      <c r="K74" s="1030"/>
      <c r="L74" s="1028">
        <v>0</v>
      </c>
      <c r="M74" s="1029">
        <f t="shared" ref="M74:M79" si="32">L74*0.21</f>
        <v>0</v>
      </c>
      <c r="N74" s="1028">
        <v>1312540.0571428575</v>
      </c>
      <c r="O74" s="1029">
        <f t="shared" ref="O74:O79" si="33">-N74*0.21</f>
        <v>-275633.41200000007</v>
      </c>
      <c r="P74" s="1029">
        <f t="shared" ref="P74:P79" si="34">M74+O74+N74</f>
        <v>1036906.6451428575</v>
      </c>
      <c r="Q74" s="1031"/>
      <c r="R74" s="1029">
        <f t="shared" ref="R74:R79" si="35">J74-P74</f>
        <v>-183755.60800000001</v>
      </c>
      <c r="S74" s="1030"/>
      <c r="T74" s="1028">
        <v>0</v>
      </c>
      <c r="U74" s="1030"/>
      <c r="V74" s="1028">
        <v>0</v>
      </c>
      <c r="W74" s="1024"/>
      <c r="X74" s="1029">
        <f t="shared" ref="X74:X79" si="36">R74-T74-V74</f>
        <v>-183755.60800000001</v>
      </c>
      <c r="Y74" s="1024"/>
      <c r="Z74" s="1025" t="s">
        <v>458</v>
      </c>
      <c r="AA74" s="1026"/>
      <c r="AB74" s="1025" t="s">
        <v>1670</v>
      </c>
      <c r="AC74" s="1026"/>
      <c r="AD74" s="1027">
        <v>0</v>
      </c>
      <c r="AE74" s="1026"/>
      <c r="AF74" s="1029">
        <f t="shared" si="19"/>
        <v>0</v>
      </c>
      <c r="AG74" s="1026"/>
      <c r="AH74" s="1019">
        <v>282</v>
      </c>
      <c r="AI74" s="1016"/>
    </row>
    <row r="75" spans="2:35">
      <c r="B75" s="1019">
        <f t="shared" si="20"/>
        <v>61</v>
      </c>
      <c r="C75" s="1020" t="s">
        <v>1714</v>
      </c>
      <c r="D75" s="1020" t="s">
        <v>1714</v>
      </c>
      <c r="E75" s="1021" t="s">
        <v>1716</v>
      </c>
      <c r="F75" s="1028"/>
      <c r="G75" s="1029">
        <f t="shared" si="29"/>
        <v>0</v>
      </c>
      <c r="H75" s="1028">
        <v>-22172083.742857147</v>
      </c>
      <c r="I75" s="1029">
        <f t="shared" si="30"/>
        <v>7760229.3100000005</v>
      </c>
      <c r="J75" s="1029">
        <f t="shared" si="31"/>
        <v>-14411854.432857146</v>
      </c>
      <c r="K75" s="1030"/>
      <c r="L75" s="1028">
        <v>0</v>
      </c>
      <c r="M75" s="1029">
        <f t="shared" si="32"/>
        <v>0</v>
      </c>
      <c r="N75" s="1028">
        <v>-22172083.742857147</v>
      </c>
      <c r="O75" s="1029">
        <f t="shared" si="33"/>
        <v>4656137.5860000011</v>
      </c>
      <c r="P75" s="1029">
        <f t="shared" si="34"/>
        <v>-17515946.156857148</v>
      </c>
      <c r="Q75" s="1031"/>
      <c r="R75" s="1029">
        <f t="shared" si="35"/>
        <v>3104091.7240000013</v>
      </c>
      <c r="S75" s="1030"/>
      <c r="T75" s="1028">
        <v>0</v>
      </c>
      <c r="U75" s="1030"/>
      <c r="V75" s="1028">
        <v>0</v>
      </c>
      <c r="W75" s="1024"/>
      <c r="X75" s="1029">
        <f t="shared" si="36"/>
        <v>3104091.7240000013</v>
      </c>
      <c r="Y75" s="1024"/>
      <c r="Z75" s="1025" t="s">
        <v>458</v>
      </c>
      <c r="AA75" s="1026"/>
      <c r="AB75" s="1025" t="s">
        <v>1670</v>
      </c>
      <c r="AC75" s="1026"/>
      <c r="AD75" s="1027">
        <v>0</v>
      </c>
      <c r="AE75" s="1026"/>
      <c r="AF75" s="1029">
        <f t="shared" si="19"/>
        <v>0</v>
      </c>
      <c r="AG75" s="1026"/>
      <c r="AH75" s="1019">
        <v>282</v>
      </c>
      <c r="AI75" s="1016"/>
    </row>
    <row r="76" spans="2:35">
      <c r="B76" s="1019">
        <f t="shared" si="20"/>
        <v>62</v>
      </c>
      <c r="C76" s="1020" t="s">
        <v>880</v>
      </c>
      <c r="D76" s="1020" t="s">
        <v>880</v>
      </c>
      <c r="E76" s="1021" t="s">
        <v>1716</v>
      </c>
      <c r="F76" s="1028"/>
      <c r="G76" s="1029">
        <f t="shared" si="29"/>
        <v>0</v>
      </c>
      <c r="H76" s="1028">
        <v>7602.971428571429</v>
      </c>
      <c r="I76" s="1029">
        <f t="shared" si="30"/>
        <v>-2661.04</v>
      </c>
      <c r="J76" s="1029">
        <f t="shared" si="31"/>
        <v>4941.931428571429</v>
      </c>
      <c r="K76" s="1030"/>
      <c r="L76" s="1028">
        <v>0</v>
      </c>
      <c r="M76" s="1029">
        <f t="shared" si="32"/>
        <v>0</v>
      </c>
      <c r="N76" s="1028">
        <v>7602.971428571429</v>
      </c>
      <c r="O76" s="1029">
        <f t="shared" si="33"/>
        <v>-1596.624</v>
      </c>
      <c r="P76" s="1029">
        <f t="shared" si="34"/>
        <v>6006.3474285714292</v>
      </c>
      <c r="Q76" s="1031"/>
      <c r="R76" s="1029">
        <f t="shared" si="35"/>
        <v>-1064.4160000000002</v>
      </c>
      <c r="S76" s="1030"/>
      <c r="T76" s="1028">
        <v>0</v>
      </c>
      <c r="U76" s="1030"/>
      <c r="V76" s="1028">
        <v>0</v>
      </c>
      <c r="W76" s="1024"/>
      <c r="X76" s="1029">
        <f t="shared" si="36"/>
        <v>-1064.4160000000002</v>
      </c>
      <c r="Y76" s="1024"/>
      <c r="Z76" s="1025" t="s">
        <v>458</v>
      </c>
      <c r="AA76" s="1026"/>
      <c r="AB76" s="1025" t="s">
        <v>1670</v>
      </c>
      <c r="AC76" s="1026"/>
      <c r="AD76" s="1027">
        <v>0</v>
      </c>
      <c r="AE76" s="1026"/>
      <c r="AF76" s="1029">
        <f t="shared" si="19"/>
        <v>0</v>
      </c>
      <c r="AG76" s="1026"/>
      <c r="AH76" s="1019">
        <v>282</v>
      </c>
      <c r="AI76" s="1016"/>
    </row>
    <row r="77" spans="2:35">
      <c r="B77" s="1019">
        <f t="shared" si="20"/>
        <v>63</v>
      </c>
      <c r="C77" s="1020" t="s">
        <v>17</v>
      </c>
      <c r="D77" s="1020" t="s">
        <v>17</v>
      </c>
      <c r="E77" s="1021" t="s">
        <v>1716</v>
      </c>
      <c r="F77" s="1028"/>
      <c r="G77" s="1029">
        <f t="shared" si="29"/>
        <v>0</v>
      </c>
      <c r="H77" s="1028">
        <v>-36703611.956989788</v>
      </c>
      <c r="I77" s="1029">
        <f t="shared" si="30"/>
        <v>12846264.184946425</v>
      </c>
      <c r="J77" s="1029">
        <f t="shared" si="31"/>
        <v>-23857347.772043362</v>
      </c>
      <c r="K77" s="1030"/>
      <c r="L77" s="1028">
        <v>0</v>
      </c>
      <c r="M77" s="1029">
        <f t="shared" si="32"/>
        <v>0</v>
      </c>
      <c r="N77" s="1028">
        <v>-36703611.956989788</v>
      </c>
      <c r="O77" s="1029">
        <f t="shared" si="33"/>
        <v>7707758.5109678553</v>
      </c>
      <c r="P77" s="1029">
        <f t="shared" si="34"/>
        <v>-28995853.446021933</v>
      </c>
      <c r="Q77" s="1031"/>
      <c r="R77" s="1029">
        <f t="shared" si="35"/>
        <v>5138505.6739785708</v>
      </c>
      <c r="S77" s="1030"/>
      <c r="T77" s="1028">
        <v>0</v>
      </c>
      <c r="U77" s="1030"/>
      <c r="V77" s="1028">
        <v>0</v>
      </c>
      <c r="W77" s="1024"/>
      <c r="X77" s="1029">
        <f t="shared" si="36"/>
        <v>5138505.6739785708</v>
      </c>
      <c r="Y77" s="1024"/>
      <c r="Z77" s="1025" t="s">
        <v>853</v>
      </c>
      <c r="AA77" s="1026"/>
      <c r="AB77" s="1025" t="s">
        <v>1673</v>
      </c>
      <c r="AC77" s="1026"/>
      <c r="AD77" s="1027">
        <v>1</v>
      </c>
      <c r="AE77" s="1026"/>
      <c r="AF77" s="1029">
        <f t="shared" si="19"/>
        <v>5138505.6739785708</v>
      </c>
      <c r="AG77" s="1026"/>
      <c r="AH77" s="1019">
        <v>282</v>
      </c>
      <c r="AI77" s="1016"/>
    </row>
    <row r="78" spans="2:35">
      <c r="B78" s="1019">
        <f t="shared" si="20"/>
        <v>64</v>
      </c>
      <c r="C78" s="1020" t="s">
        <v>1717</v>
      </c>
      <c r="D78" s="1020" t="s">
        <v>1717</v>
      </c>
      <c r="E78" s="1021" t="s">
        <v>1716</v>
      </c>
      <c r="F78" s="1028"/>
      <c r="G78" s="1029">
        <f t="shared" si="29"/>
        <v>0</v>
      </c>
      <c r="H78" s="1028">
        <v>2112410.7855612142</v>
      </c>
      <c r="I78" s="1029">
        <f t="shared" si="30"/>
        <v>-739343.77494642488</v>
      </c>
      <c r="J78" s="1029">
        <f t="shared" si="31"/>
        <v>1373067.0106147893</v>
      </c>
      <c r="K78" s="1030"/>
      <c r="L78" s="1028">
        <v>0</v>
      </c>
      <c r="M78" s="1029">
        <f t="shared" si="32"/>
        <v>0</v>
      </c>
      <c r="N78" s="1028">
        <v>2112410.7855612142</v>
      </c>
      <c r="O78" s="1029">
        <f t="shared" si="33"/>
        <v>-443606.26496785495</v>
      </c>
      <c r="P78" s="1029">
        <f t="shared" si="34"/>
        <v>1668804.5205933591</v>
      </c>
      <c r="Q78" s="1031"/>
      <c r="R78" s="1029">
        <f t="shared" si="35"/>
        <v>-295737.50997856981</v>
      </c>
      <c r="S78" s="1030"/>
      <c r="T78" s="1028">
        <v>0</v>
      </c>
      <c r="U78" s="1030"/>
      <c r="V78" s="1028">
        <v>0</v>
      </c>
      <c r="W78" s="1024"/>
      <c r="X78" s="1029">
        <f t="shared" si="36"/>
        <v>-295737.50997856981</v>
      </c>
      <c r="Y78" s="1024"/>
      <c r="Z78" s="1025" t="s">
        <v>458</v>
      </c>
      <c r="AA78" s="1026"/>
      <c r="AB78" s="1025" t="s">
        <v>1670</v>
      </c>
      <c r="AC78" s="1026"/>
      <c r="AD78" s="1027">
        <v>0</v>
      </c>
      <c r="AE78" s="1026"/>
      <c r="AF78" s="1029">
        <f t="shared" si="19"/>
        <v>0</v>
      </c>
      <c r="AG78" s="1026"/>
      <c r="AH78" s="1019">
        <v>282</v>
      </c>
      <c r="AI78" s="1016"/>
    </row>
    <row r="79" spans="2:35">
      <c r="B79" s="1019">
        <f t="shared" si="20"/>
        <v>65</v>
      </c>
      <c r="C79" s="1020" t="s">
        <v>1715</v>
      </c>
      <c r="D79" s="1020" t="s">
        <v>1715</v>
      </c>
      <c r="E79" s="1021" t="s">
        <v>1716</v>
      </c>
      <c r="F79" s="1028"/>
      <c r="G79" s="1029">
        <f t="shared" si="29"/>
        <v>0</v>
      </c>
      <c r="H79" s="1028">
        <v>-10558443.400000002</v>
      </c>
      <c r="I79" s="1029">
        <f t="shared" si="30"/>
        <v>3695455.1900000004</v>
      </c>
      <c r="J79" s="1029">
        <f t="shared" si="31"/>
        <v>-6862988.2100000018</v>
      </c>
      <c r="K79" s="1030"/>
      <c r="L79" s="1028">
        <v>0</v>
      </c>
      <c r="M79" s="1029">
        <f t="shared" si="32"/>
        <v>0</v>
      </c>
      <c r="N79" s="1028">
        <v>-10558443.400000002</v>
      </c>
      <c r="O79" s="1029">
        <f t="shared" si="33"/>
        <v>2217273.1140000005</v>
      </c>
      <c r="P79" s="1029">
        <f t="shared" si="34"/>
        <v>-8341170.2860000022</v>
      </c>
      <c r="Q79" s="1031"/>
      <c r="R79" s="1029">
        <f t="shared" si="35"/>
        <v>1478182.0760000004</v>
      </c>
      <c r="S79" s="1030"/>
      <c r="T79" s="1028">
        <v>0</v>
      </c>
      <c r="U79" s="1030"/>
      <c r="V79" s="1028">
        <v>0</v>
      </c>
      <c r="W79" s="1024"/>
      <c r="X79" s="1029">
        <f t="shared" si="36"/>
        <v>1478182.0760000004</v>
      </c>
      <c r="Y79" s="1024"/>
      <c r="Z79" s="1025" t="s">
        <v>458</v>
      </c>
      <c r="AA79" s="1026"/>
      <c r="AB79" s="1025" t="s">
        <v>1670</v>
      </c>
      <c r="AC79" s="1026"/>
      <c r="AD79" s="1027">
        <v>0</v>
      </c>
      <c r="AE79" s="1026"/>
      <c r="AF79" s="1029">
        <f t="shared" si="19"/>
        <v>0</v>
      </c>
      <c r="AG79" s="1026"/>
      <c r="AH79" s="1019">
        <v>282</v>
      </c>
      <c r="AI79" s="1016"/>
    </row>
    <row r="80" spans="2:35">
      <c r="B80" s="1019">
        <f t="shared" si="20"/>
        <v>66</v>
      </c>
      <c r="C80" s="1020"/>
      <c r="D80" s="1020"/>
      <c r="E80" s="1021"/>
      <c r="F80" s="1028"/>
      <c r="G80" s="1029"/>
      <c r="H80" s="1028"/>
      <c r="I80" s="1029"/>
      <c r="J80" s="1029"/>
      <c r="K80" s="1030"/>
      <c r="L80" s="1028"/>
      <c r="M80" s="1029"/>
      <c r="N80" s="1028"/>
      <c r="O80" s="1029"/>
      <c r="P80" s="1029"/>
      <c r="Q80" s="1031"/>
      <c r="R80" s="1029"/>
      <c r="S80" s="1030"/>
      <c r="T80" s="1028"/>
      <c r="U80" s="1030"/>
      <c r="V80" s="1028"/>
      <c r="W80" s="1024"/>
      <c r="X80" s="1029"/>
      <c r="Y80" s="1024"/>
      <c r="Z80" s="1025"/>
      <c r="AA80" s="1026"/>
      <c r="AB80" s="1025"/>
      <c r="AC80" s="1026"/>
      <c r="AD80" s="1027"/>
      <c r="AE80" s="1026"/>
      <c r="AF80" s="1027"/>
      <c r="AG80" s="1026"/>
      <c r="AH80" s="1038"/>
      <c r="AI80" s="1016"/>
    </row>
    <row r="81" spans="2:35">
      <c r="B81" s="1019">
        <f t="shared" si="20"/>
        <v>67</v>
      </c>
      <c r="C81" s="1020" t="s">
        <v>1719</v>
      </c>
      <c r="D81" s="1020" t="s">
        <v>1719</v>
      </c>
      <c r="E81" s="1021" t="s">
        <v>1716</v>
      </c>
      <c r="F81" s="1028">
        <v>-1962869053.8599997</v>
      </c>
      <c r="G81" s="1029">
        <f t="shared" ref="G81" si="37">F81*0.35</f>
        <v>-687004168.85099983</v>
      </c>
      <c r="H81" s="1028">
        <v>-478101448.54677171</v>
      </c>
      <c r="I81" s="1029">
        <f t="shared" ref="I81" si="38">-H81*0.35</f>
        <v>167335506.99137008</v>
      </c>
      <c r="J81" s="1029">
        <f t="shared" ref="J81" si="39">G81+I81+H81</f>
        <v>-997770110.4064014</v>
      </c>
      <c r="K81" s="1030"/>
      <c r="L81" s="1028">
        <v>-1962869053.8599997</v>
      </c>
      <c r="M81" s="1029">
        <f t="shared" ref="M81" si="40">L81*0.21</f>
        <v>-412202501.31059992</v>
      </c>
      <c r="N81" s="1028">
        <v>-478101448.54677171</v>
      </c>
      <c r="O81" s="1029">
        <f>-N81*0.21</f>
        <v>100401304.19482206</v>
      </c>
      <c r="P81" s="1029">
        <f t="shared" ref="P81" si="41">M81+O81+N81</f>
        <v>-789902645.6625495</v>
      </c>
      <c r="Q81" s="1031"/>
      <c r="R81" s="1029">
        <f t="shared" ref="R81" si="42">J81-P81</f>
        <v>-207867464.7438519</v>
      </c>
      <c r="S81" s="1030"/>
      <c r="T81" s="1028">
        <v>0</v>
      </c>
      <c r="U81" s="1030"/>
      <c r="V81" s="1028">
        <v>-207867464.7438519</v>
      </c>
      <c r="W81" s="1024"/>
      <c r="X81" s="1029">
        <f t="shared" ref="X81" si="43">R81-T81-V81</f>
        <v>0</v>
      </c>
      <c r="Y81" s="1024"/>
      <c r="Z81" s="1025" t="s">
        <v>458</v>
      </c>
      <c r="AA81" s="1026"/>
      <c r="AB81" s="1025" t="s">
        <v>1670</v>
      </c>
      <c r="AC81" s="1026"/>
      <c r="AD81" s="1027">
        <v>0</v>
      </c>
      <c r="AE81" s="1026"/>
      <c r="AF81" s="1029">
        <f t="shared" si="19"/>
        <v>0</v>
      </c>
      <c r="AG81" s="1026"/>
      <c r="AH81" s="1019">
        <v>282</v>
      </c>
      <c r="AI81" s="1016"/>
    </row>
    <row r="82" spans="2:35">
      <c r="B82" s="1019">
        <f t="shared" si="20"/>
        <v>68</v>
      </c>
      <c r="C82" s="1032" t="s">
        <v>1720</v>
      </c>
      <c r="D82" s="1025"/>
      <c r="E82" s="1025"/>
      <c r="F82" s="1033">
        <f>SUM(F58:F81)</f>
        <v>-6411006228.46</v>
      </c>
      <c r="G82" s="1033">
        <f>SUM(G58:G81)</f>
        <v>-2243852179.9609995</v>
      </c>
      <c r="H82" s="1033">
        <f>SUM(H58:H81)</f>
        <v>-544103033.83248603</v>
      </c>
      <c r="I82" s="1033">
        <f>SUM(I58:I81)</f>
        <v>190436061.84137008</v>
      </c>
      <c r="J82" s="1033">
        <f>SUM(J58:J81)</f>
        <v>-2597519151.9521155</v>
      </c>
      <c r="K82" s="1024"/>
      <c r="L82" s="1033">
        <f>SUM(L58:L81)</f>
        <v>-6411006228.46</v>
      </c>
      <c r="M82" s="1033">
        <f>SUM(M58:M81)</f>
        <v>-1346311307.9766002</v>
      </c>
      <c r="N82" s="1033">
        <f>SUM(N58:N81)</f>
        <v>-544103033.83248603</v>
      </c>
      <c r="O82" s="1033">
        <f>SUM(O58:O81)</f>
        <v>114261637.10482205</v>
      </c>
      <c r="P82" s="1033">
        <f>SUM(P58:P81)</f>
        <v>-1776152704.7042637</v>
      </c>
      <c r="R82" s="1033">
        <f>SUM(R58:R81)</f>
        <v>-821366447.24785185</v>
      </c>
      <c r="S82" s="1024"/>
      <c r="T82" s="1033">
        <f>SUM(T58:T81)</f>
        <v>0</v>
      </c>
      <c r="U82" s="1024"/>
      <c r="V82" s="1033">
        <f>SUM(V58:V81)</f>
        <v>-207867464.7438519</v>
      </c>
      <c r="W82" s="1024"/>
      <c r="X82" s="1033">
        <f>SUM(X58:X81)</f>
        <v>-613498982.50399995</v>
      </c>
      <c r="Y82" s="1024"/>
      <c r="Z82" s="1025"/>
      <c r="AA82" s="1026"/>
      <c r="AB82" s="1025"/>
      <c r="AC82" s="1026"/>
      <c r="AD82" s="1027"/>
      <c r="AE82" s="1026"/>
      <c r="AF82" s="1033">
        <f>SUM(AF58:AF81)</f>
        <v>-97774072.54185459</v>
      </c>
      <c r="AG82" s="1026"/>
      <c r="AH82" s="1019"/>
      <c r="AI82" s="1025"/>
    </row>
    <row r="83" spans="2:35">
      <c r="B83" s="1019"/>
      <c r="C83" s="1025"/>
      <c r="D83" s="1025"/>
      <c r="E83" s="1025"/>
      <c r="F83" s="1023"/>
      <c r="G83" s="1023"/>
      <c r="H83" s="1023"/>
      <c r="I83" s="1023"/>
      <c r="J83" s="1023"/>
      <c r="K83" s="1024"/>
      <c r="L83" s="1023"/>
      <c r="M83" s="1023"/>
      <c r="N83" s="1023"/>
      <c r="O83" s="1023"/>
      <c r="P83" s="1023"/>
      <c r="R83" s="1023"/>
      <c r="S83" s="1024"/>
      <c r="T83" s="1023"/>
      <c r="U83" s="1024"/>
      <c r="V83" s="1023"/>
      <c r="W83" s="1024"/>
      <c r="X83" s="1023"/>
      <c r="Y83" s="1024"/>
      <c r="Z83" s="1025"/>
      <c r="AA83" s="1026"/>
      <c r="AB83" s="1025"/>
      <c r="AC83" s="1026"/>
      <c r="AD83" s="1027"/>
      <c r="AE83" s="1026"/>
      <c r="AF83" s="1023"/>
      <c r="AG83" s="1026"/>
      <c r="AH83" s="1019"/>
      <c r="AI83" s="1025"/>
    </row>
    <row r="84" spans="2:35" ht="14">
      <c r="B84" s="1019"/>
      <c r="C84" s="1035" t="s">
        <v>1721</v>
      </c>
      <c r="D84" s="1025"/>
      <c r="E84" s="1025"/>
      <c r="F84" s="1023"/>
      <c r="G84" s="1023"/>
      <c r="H84" s="1023"/>
      <c r="I84" s="1023"/>
      <c r="J84" s="1023"/>
      <c r="K84" s="1024"/>
      <c r="L84" s="1023"/>
      <c r="M84" s="1023"/>
      <c r="N84" s="1023"/>
      <c r="O84" s="1023"/>
      <c r="P84" s="1023"/>
      <c r="R84" s="1023"/>
      <c r="S84" s="1024"/>
      <c r="T84" s="1023"/>
      <c r="U84" s="1024"/>
      <c r="V84" s="1023"/>
      <c r="W84" s="1024"/>
      <c r="X84" s="1023"/>
      <c r="Y84" s="1024"/>
      <c r="Z84" s="1025"/>
      <c r="AA84" s="1026"/>
      <c r="AB84" s="1025"/>
      <c r="AC84" s="1026"/>
      <c r="AD84" s="1027"/>
      <c r="AE84" s="1026"/>
      <c r="AF84" s="1023"/>
      <c r="AG84" s="1026"/>
      <c r="AH84" s="1019"/>
      <c r="AI84" s="1025"/>
    </row>
    <row r="85" spans="2:35">
      <c r="B85" s="1019">
        <f>+B82+1</f>
        <v>69</v>
      </c>
      <c r="C85" s="1020" t="s">
        <v>1722</v>
      </c>
      <c r="D85" s="1020" t="s">
        <v>1722</v>
      </c>
      <c r="E85" s="1021" t="s">
        <v>1668</v>
      </c>
      <c r="F85" s="1037">
        <v>-24804411.330000009</v>
      </c>
      <c r="G85" s="1023">
        <f t="shared" ref="G85:G110" si="44">F85*0.35</f>
        <v>-8681543.9655000027</v>
      </c>
      <c r="H85" s="1037">
        <v>-2477960.6918670009</v>
      </c>
      <c r="I85" s="1023">
        <f t="shared" ref="I85:I107" si="45">-H85*0.35</f>
        <v>867286.24215345026</v>
      </c>
      <c r="J85" s="1023">
        <f t="shared" ref="J85:J107" si="46">G85+I85+H85</f>
        <v>-10292218.415213553</v>
      </c>
      <c r="K85" s="1024"/>
      <c r="L85" s="1037">
        <v>-24804411.330000009</v>
      </c>
      <c r="M85" s="1023">
        <f t="shared" ref="M85:M107" si="47">L85*0.21</f>
        <v>-5208926.379300002</v>
      </c>
      <c r="N85" s="1037">
        <v>-2477960.6918670009</v>
      </c>
      <c r="O85" s="1023">
        <f t="shared" ref="O85:O107" si="48">-N85*0.21</f>
        <v>520371.74529207015</v>
      </c>
      <c r="P85" s="1023">
        <f t="shared" ref="P85:P107" si="49">M85+O85+N85</f>
        <v>-7166515.3258749321</v>
      </c>
      <c r="R85" s="1023">
        <f t="shared" ref="R85:R107" si="50">J85-P85</f>
        <v>-3125703.0893386211</v>
      </c>
      <c r="S85" s="1024"/>
      <c r="T85" s="1022">
        <v>0</v>
      </c>
      <c r="U85" s="1024"/>
      <c r="V85" s="1022">
        <v>0</v>
      </c>
      <c r="W85" s="1024"/>
      <c r="X85" s="1023">
        <f t="shared" ref="X85:X107" si="51">R85-T85-V85</f>
        <v>-3125703.0893386211</v>
      </c>
      <c r="Y85" s="1024"/>
      <c r="Z85" s="1025" t="s">
        <v>1669</v>
      </c>
      <c r="AA85" s="1026"/>
      <c r="AB85" s="1025" t="s">
        <v>1670</v>
      </c>
      <c r="AC85" s="1026"/>
      <c r="AD85" s="1027">
        <v>0</v>
      </c>
      <c r="AE85" s="1026"/>
      <c r="AF85" s="1023">
        <f>X85*AD85</f>
        <v>0</v>
      </c>
      <c r="AG85" s="1026"/>
      <c r="AH85" s="1019">
        <v>283</v>
      </c>
      <c r="AI85" s="1016"/>
    </row>
    <row r="86" spans="2:35">
      <c r="B86" s="1019">
        <f>+B85+1</f>
        <v>70</v>
      </c>
      <c r="C86" s="1020" t="s">
        <v>1599</v>
      </c>
      <c r="D86" s="1020" t="s">
        <v>1599</v>
      </c>
      <c r="E86" s="1021" t="s">
        <v>1668</v>
      </c>
      <c r="F86" s="1028">
        <v>-4056845.66</v>
      </c>
      <c r="G86" s="1029">
        <f t="shared" si="44"/>
        <v>-1419895.9809999999</v>
      </c>
      <c r="H86" s="1028">
        <v>-405278.88143400004</v>
      </c>
      <c r="I86" s="1029">
        <f t="shared" si="45"/>
        <v>141847.60850190002</v>
      </c>
      <c r="J86" s="1029">
        <f>G86+I86+H86</f>
        <v>-1683327.2539321</v>
      </c>
      <c r="K86" s="1030"/>
      <c r="L86" s="1028">
        <v>-4056845.66</v>
      </c>
      <c r="M86" s="1029">
        <f t="shared" si="47"/>
        <v>-851937.58860000002</v>
      </c>
      <c r="N86" s="1028">
        <v>-405278.88143400004</v>
      </c>
      <c r="O86" s="1029">
        <f t="shared" si="48"/>
        <v>85108.565101140004</v>
      </c>
      <c r="P86" s="1029">
        <f t="shared" si="49"/>
        <v>-1172107.9049328601</v>
      </c>
      <c r="Q86" s="1031"/>
      <c r="R86" s="1029">
        <f t="shared" si="50"/>
        <v>-511219.34899923997</v>
      </c>
      <c r="S86" s="1030"/>
      <c r="T86" s="1028">
        <v>0</v>
      </c>
      <c r="U86" s="1030"/>
      <c r="V86" s="1028">
        <v>0</v>
      </c>
      <c r="W86" s="1030"/>
      <c r="X86" s="1029">
        <f t="shared" si="51"/>
        <v>-511219.34899923997</v>
      </c>
      <c r="Y86" s="1024"/>
      <c r="Z86" s="1025" t="s">
        <v>1669</v>
      </c>
      <c r="AA86" s="1026"/>
      <c r="AB86" s="1025" t="s">
        <v>1670</v>
      </c>
      <c r="AC86" s="1026"/>
      <c r="AD86" s="1027">
        <v>0</v>
      </c>
      <c r="AE86" s="1026"/>
      <c r="AF86" s="1029">
        <f t="shared" ref="AF86:AF107" si="52">X86*AD86</f>
        <v>0</v>
      </c>
      <c r="AG86" s="1026"/>
      <c r="AH86" s="1019">
        <v>283</v>
      </c>
      <c r="AI86" s="1016"/>
    </row>
    <row r="87" spans="2:35">
      <c r="B87" s="1019">
        <f t="shared" ref="B87:B112" si="53">+B86+1</f>
        <v>71</v>
      </c>
      <c r="C87" s="1020" t="s">
        <v>1723</v>
      </c>
      <c r="D87" s="1020" t="s">
        <v>1723</v>
      </c>
      <c r="E87" s="1021" t="s">
        <v>1668</v>
      </c>
      <c r="F87" s="1028">
        <v>-1746004.61</v>
      </c>
      <c r="G87" s="1029">
        <f t="shared" si="44"/>
        <v>-611101.61349999998</v>
      </c>
      <c r="H87" s="1028">
        <v>-174425.86053900002</v>
      </c>
      <c r="I87" s="1029">
        <f t="shared" si="45"/>
        <v>61049.051188650003</v>
      </c>
      <c r="J87" s="1029">
        <f t="shared" si="46"/>
        <v>-724478.42285035003</v>
      </c>
      <c r="K87" s="1030"/>
      <c r="L87" s="1028">
        <v>-1746004.61</v>
      </c>
      <c r="M87" s="1029">
        <f t="shared" si="47"/>
        <v>-366660.9681</v>
      </c>
      <c r="N87" s="1028">
        <v>-174425.86053900002</v>
      </c>
      <c r="O87" s="1029">
        <f t="shared" si="48"/>
        <v>36629.430713189999</v>
      </c>
      <c r="P87" s="1029">
        <f t="shared" si="49"/>
        <v>-504457.39792581002</v>
      </c>
      <c r="Q87" s="1031"/>
      <c r="R87" s="1029">
        <f t="shared" si="50"/>
        <v>-220021.02492454002</v>
      </c>
      <c r="S87" s="1030"/>
      <c r="T87" s="1028">
        <v>0</v>
      </c>
      <c r="U87" s="1030"/>
      <c r="V87" s="1028">
        <v>0</v>
      </c>
      <c r="W87" s="1030"/>
      <c r="X87" s="1029">
        <f t="shared" si="51"/>
        <v>-220021.02492454002</v>
      </c>
      <c r="Y87" s="1024"/>
      <c r="Z87" s="1025" t="s">
        <v>458</v>
      </c>
      <c r="AA87" s="1026"/>
      <c r="AB87" s="1025" t="s">
        <v>1673</v>
      </c>
      <c r="AC87" s="1026"/>
      <c r="AD87" s="1027">
        <v>9.699983183423401E-2</v>
      </c>
      <c r="AE87" s="1026"/>
      <c r="AF87" s="1029">
        <f t="shared" si="52"/>
        <v>-21342.002417676191</v>
      </c>
      <c r="AG87" s="1026"/>
      <c r="AH87" s="1019">
        <v>283</v>
      </c>
      <c r="AI87" s="1016"/>
    </row>
    <row r="88" spans="2:35">
      <c r="B88" s="1019">
        <f t="shared" si="53"/>
        <v>72</v>
      </c>
      <c r="C88" s="1020" t="s">
        <v>1724</v>
      </c>
      <c r="D88" s="1020" t="s">
        <v>1724</v>
      </c>
      <c r="E88" s="1021" t="s">
        <v>1668</v>
      </c>
      <c r="F88" s="1028">
        <v>-7289033.8200000003</v>
      </c>
      <c r="G88" s="1029">
        <f t="shared" si="44"/>
        <v>-2551161.8369999998</v>
      </c>
      <c r="H88" s="1028">
        <v>-728174.47861800005</v>
      </c>
      <c r="I88" s="1029">
        <f t="shared" si="45"/>
        <v>254861.06751630001</v>
      </c>
      <c r="J88" s="1029">
        <f t="shared" si="46"/>
        <v>-3024475.2481017001</v>
      </c>
      <c r="K88" s="1030"/>
      <c r="L88" s="1028">
        <v>-7289033.8200000003</v>
      </c>
      <c r="M88" s="1029">
        <f t="shared" si="47"/>
        <v>-1530697.1022000001</v>
      </c>
      <c r="N88" s="1028">
        <v>-728174.47861800005</v>
      </c>
      <c r="O88" s="1029">
        <f t="shared" si="48"/>
        <v>152916.64050978</v>
      </c>
      <c r="P88" s="1029">
        <f t="shared" si="49"/>
        <v>-2105954.9403082202</v>
      </c>
      <c r="Q88" s="1031"/>
      <c r="R88" s="1029">
        <f t="shared" si="50"/>
        <v>-918520.30779347988</v>
      </c>
      <c r="S88" s="1030"/>
      <c r="T88" s="1028">
        <v>0</v>
      </c>
      <c r="U88" s="1030"/>
      <c r="V88" s="1028">
        <v>0</v>
      </c>
      <c r="W88" s="1030"/>
      <c r="X88" s="1029">
        <f t="shared" si="51"/>
        <v>-918520.30779347988</v>
      </c>
      <c r="Y88" s="1024"/>
      <c r="Z88" s="1025" t="s">
        <v>1669</v>
      </c>
      <c r="AA88" s="1026"/>
      <c r="AB88" s="1025" t="s">
        <v>1670</v>
      </c>
      <c r="AC88" s="1026"/>
      <c r="AD88" s="1027">
        <v>0</v>
      </c>
      <c r="AE88" s="1026"/>
      <c r="AF88" s="1029">
        <f t="shared" si="52"/>
        <v>0</v>
      </c>
      <c r="AG88" s="1026"/>
      <c r="AH88" s="1019">
        <v>283</v>
      </c>
      <c r="AI88" s="1016"/>
    </row>
    <row r="89" spans="2:35">
      <c r="B89" s="1019">
        <f t="shared" si="53"/>
        <v>73</v>
      </c>
      <c r="C89" s="1020" t="s">
        <v>1725</v>
      </c>
      <c r="D89" s="1020" t="s">
        <v>1725</v>
      </c>
      <c r="E89" s="1021" t="s">
        <v>1668</v>
      </c>
      <c r="F89" s="1028">
        <v>0</v>
      </c>
      <c r="G89" s="1029">
        <f t="shared" si="44"/>
        <v>0</v>
      </c>
      <c r="H89" s="1028">
        <v>0</v>
      </c>
      <c r="I89" s="1029">
        <f t="shared" si="45"/>
        <v>0</v>
      </c>
      <c r="J89" s="1029">
        <f t="shared" si="46"/>
        <v>0</v>
      </c>
      <c r="K89" s="1030"/>
      <c r="L89" s="1028">
        <v>0</v>
      </c>
      <c r="M89" s="1029">
        <f t="shared" si="47"/>
        <v>0</v>
      </c>
      <c r="N89" s="1028">
        <v>0</v>
      </c>
      <c r="O89" s="1029">
        <f t="shared" si="48"/>
        <v>0</v>
      </c>
      <c r="P89" s="1029">
        <f t="shared" si="49"/>
        <v>0</v>
      </c>
      <c r="Q89" s="1031"/>
      <c r="R89" s="1029">
        <f t="shared" si="50"/>
        <v>0</v>
      </c>
      <c r="S89" s="1030"/>
      <c r="T89" s="1028">
        <v>0</v>
      </c>
      <c r="U89" s="1030"/>
      <c r="V89" s="1028">
        <v>0</v>
      </c>
      <c r="W89" s="1030"/>
      <c r="X89" s="1029">
        <f t="shared" si="51"/>
        <v>0</v>
      </c>
      <c r="Y89" s="1024"/>
      <c r="Z89" s="1025" t="s">
        <v>1669</v>
      </c>
      <c r="AA89" s="1026"/>
      <c r="AB89" s="1025" t="s">
        <v>1670</v>
      </c>
      <c r="AC89" s="1026"/>
      <c r="AD89" s="1027">
        <v>0</v>
      </c>
      <c r="AE89" s="1026"/>
      <c r="AF89" s="1029">
        <f t="shared" si="52"/>
        <v>0</v>
      </c>
      <c r="AG89" s="1026"/>
      <c r="AH89" s="1019">
        <v>283</v>
      </c>
      <c r="AI89" s="1016"/>
    </row>
    <row r="90" spans="2:35">
      <c r="B90" s="1019">
        <f t="shared" si="53"/>
        <v>74</v>
      </c>
      <c r="C90" s="1020" t="s">
        <v>1726</v>
      </c>
      <c r="D90" s="1020" t="s">
        <v>1726</v>
      </c>
      <c r="E90" s="1021" t="s">
        <v>1668</v>
      </c>
      <c r="F90" s="1028">
        <v>-258131.34999999951</v>
      </c>
      <c r="G90" s="1029">
        <f t="shared" si="44"/>
        <v>-90345.972499999829</v>
      </c>
      <c r="H90" s="1028">
        <v>-25787.321864999951</v>
      </c>
      <c r="I90" s="1029">
        <f t="shared" si="45"/>
        <v>9025.5626527499826</v>
      </c>
      <c r="J90" s="1029">
        <f t="shared" si="46"/>
        <v>-107107.73171224979</v>
      </c>
      <c r="K90" s="1030"/>
      <c r="L90" s="1028">
        <v>-258131.34999999951</v>
      </c>
      <c r="M90" s="1029">
        <f t="shared" si="47"/>
        <v>-54207.583499999899</v>
      </c>
      <c r="N90" s="1028">
        <v>-25787.321864999951</v>
      </c>
      <c r="O90" s="1029">
        <f t="shared" si="48"/>
        <v>5415.337591649989</v>
      </c>
      <c r="P90" s="1029">
        <f t="shared" si="49"/>
        <v>-74579.56777334986</v>
      </c>
      <c r="Q90" s="1031"/>
      <c r="R90" s="1029">
        <f t="shared" si="50"/>
        <v>-32528.163938899932</v>
      </c>
      <c r="S90" s="1030"/>
      <c r="T90" s="1028">
        <v>0</v>
      </c>
      <c r="U90" s="1030"/>
      <c r="V90" s="1028">
        <v>0</v>
      </c>
      <c r="W90" s="1030"/>
      <c r="X90" s="1029">
        <f t="shared" si="51"/>
        <v>-32528.163938899932</v>
      </c>
      <c r="Y90" s="1024"/>
      <c r="Z90" s="1025" t="s">
        <v>1669</v>
      </c>
      <c r="AA90" s="1026"/>
      <c r="AB90" s="1025" t="s">
        <v>1670</v>
      </c>
      <c r="AC90" s="1026"/>
      <c r="AD90" s="1027">
        <v>0</v>
      </c>
      <c r="AE90" s="1026"/>
      <c r="AF90" s="1029">
        <f t="shared" si="52"/>
        <v>0</v>
      </c>
      <c r="AG90" s="1026"/>
      <c r="AH90" s="1019">
        <v>283</v>
      </c>
      <c r="AI90" s="1016"/>
    </row>
    <row r="91" spans="2:35">
      <c r="B91" s="1019">
        <f t="shared" si="53"/>
        <v>75</v>
      </c>
      <c r="C91" s="1020" t="s">
        <v>1727</v>
      </c>
      <c r="D91" s="1020" t="s">
        <v>1727</v>
      </c>
      <c r="E91" s="1021" t="s">
        <v>1668</v>
      </c>
      <c r="F91" s="1028">
        <v>-67717.41999999994</v>
      </c>
      <c r="G91" s="1029">
        <f t="shared" si="44"/>
        <v>-23701.096999999976</v>
      </c>
      <c r="H91" s="1028">
        <v>-6764.9702579999939</v>
      </c>
      <c r="I91" s="1029">
        <f t="shared" si="45"/>
        <v>2367.7395902999979</v>
      </c>
      <c r="J91" s="1029">
        <f t="shared" si="46"/>
        <v>-28098.327667699974</v>
      </c>
      <c r="K91" s="1030"/>
      <c r="L91" s="1028">
        <v>-67717.41999999994</v>
      </c>
      <c r="M91" s="1029">
        <f t="shared" si="47"/>
        <v>-14220.658199999987</v>
      </c>
      <c r="N91" s="1028">
        <v>-6764.9702579999939</v>
      </c>
      <c r="O91" s="1029">
        <f t="shared" si="48"/>
        <v>1420.6437541799987</v>
      </c>
      <c r="P91" s="1029">
        <f t="shared" si="49"/>
        <v>-19564.98470381998</v>
      </c>
      <c r="Q91" s="1031"/>
      <c r="R91" s="1029">
        <f t="shared" si="50"/>
        <v>-8533.3429638799935</v>
      </c>
      <c r="S91" s="1030"/>
      <c r="T91" s="1028">
        <v>0</v>
      </c>
      <c r="U91" s="1030"/>
      <c r="V91" s="1028">
        <v>0</v>
      </c>
      <c r="W91" s="1030"/>
      <c r="X91" s="1029">
        <f t="shared" si="51"/>
        <v>-8533.3429638799935</v>
      </c>
      <c r="Y91" s="1024"/>
      <c r="Z91" s="1025" t="s">
        <v>1669</v>
      </c>
      <c r="AA91" s="1026"/>
      <c r="AB91" s="1025" t="s">
        <v>1670</v>
      </c>
      <c r="AC91" s="1026"/>
      <c r="AD91" s="1027">
        <v>0</v>
      </c>
      <c r="AE91" s="1026"/>
      <c r="AF91" s="1029">
        <f t="shared" si="52"/>
        <v>0</v>
      </c>
      <c r="AG91" s="1026"/>
      <c r="AH91" s="1019">
        <v>283</v>
      </c>
      <c r="AI91" s="1016"/>
    </row>
    <row r="92" spans="2:35">
      <c r="B92" s="1019">
        <f t="shared" si="53"/>
        <v>76</v>
      </c>
      <c r="C92" s="1020" t="s">
        <v>1728</v>
      </c>
      <c r="D92" s="1020" t="s">
        <v>1728</v>
      </c>
      <c r="E92" s="1021" t="s">
        <v>1668</v>
      </c>
      <c r="F92" s="1028">
        <v>-688709.13</v>
      </c>
      <c r="G92" s="1029">
        <f t="shared" si="44"/>
        <v>-241048.19549999997</v>
      </c>
      <c r="H92" s="1028">
        <v>-68802.042087000009</v>
      </c>
      <c r="I92" s="1029">
        <f t="shared" si="45"/>
        <v>24080.714730450003</v>
      </c>
      <c r="J92" s="1029">
        <f t="shared" si="46"/>
        <v>-285769.52285654994</v>
      </c>
      <c r="K92" s="1030"/>
      <c r="L92" s="1028">
        <v>-688709.13</v>
      </c>
      <c r="M92" s="1029">
        <f t="shared" si="47"/>
        <v>-144628.9173</v>
      </c>
      <c r="N92" s="1028">
        <v>-68802.042087000009</v>
      </c>
      <c r="O92" s="1029">
        <f t="shared" si="48"/>
        <v>14448.428838270002</v>
      </c>
      <c r="P92" s="1029">
        <f t="shared" si="49"/>
        <v>-198982.53054872999</v>
      </c>
      <c r="Q92" s="1031"/>
      <c r="R92" s="1029">
        <f t="shared" si="50"/>
        <v>-86786.99230781995</v>
      </c>
      <c r="S92" s="1030"/>
      <c r="T92" s="1028">
        <v>0</v>
      </c>
      <c r="U92" s="1030"/>
      <c r="V92" s="1028">
        <v>0</v>
      </c>
      <c r="W92" s="1030"/>
      <c r="X92" s="1029">
        <f t="shared" si="51"/>
        <v>-86786.99230781995</v>
      </c>
      <c r="Y92" s="1024"/>
      <c r="Z92" s="1025" t="s">
        <v>1669</v>
      </c>
      <c r="AA92" s="1026"/>
      <c r="AB92" s="1025" t="s">
        <v>1670</v>
      </c>
      <c r="AC92" s="1026"/>
      <c r="AD92" s="1027">
        <v>0</v>
      </c>
      <c r="AE92" s="1026"/>
      <c r="AF92" s="1029">
        <f t="shared" si="52"/>
        <v>0</v>
      </c>
      <c r="AG92" s="1026"/>
      <c r="AH92" s="1019">
        <v>283</v>
      </c>
      <c r="AI92" s="1016"/>
    </row>
    <row r="93" spans="2:35">
      <c r="B93" s="1019">
        <f t="shared" si="53"/>
        <v>77</v>
      </c>
      <c r="C93" s="1020" t="s">
        <v>1729</v>
      </c>
      <c r="D93" s="1020" t="s">
        <v>1729</v>
      </c>
      <c r="E93" s="1021" t="s">
        <v>1668</v>
      </c>
      <c r="F93" s="1028">
        <v>-1699831030.5799999</v>
      </c>
      <c r="G93" s="1029">
        <f t="shared" si="44"/>
        <v>-594940860.70299995</v>
      </c>
      <c r="H93" s="1028">
        <v>-169813119.95494199</v>
      </c>
      <c r="I93" s="1029">
        <f t="shared" si="45"/>
        <v>59434591.984229691</v>
      </c>
      <c r="J93" s="1029">
        <f t="shared" si="46"/>
        <v>-705319388.67371225</v>
      </c>
      <c r="K93" s="1030"/>
      <c r="L93" s="1028">
        <v>-1699831030.5799999</v>
      </c>
      <c r="M93" s="1029">
        <f t="shared" si="47"/>
        <v>-356964516.42179996</v>
      </c>
      <c r="N93" s="1028">
        <v>-169813119.95494199</v>
      </c>
      <c r="O93" s="1029">
        <f t="shared" si="48"/>
        <v>35660755.190537818</v>
      </c>
      <c r="P93" s="1029">
        <f t="shared" si="49"/>
        <v>-491116881.18620414</v>
      </c>
      <c r="Q93" s="1031"/>
      <c r="R93" s="1029">
        <f t="shared" si="50"/>
        <v>-214202507.48750812</v>
      </c>
      <c r="S93" s="1030"/>
      <c r="T93" s="1028">
        <v>0</v>
      </c>
      <c r="U93" s="1030"/>
      <c r="V93" s="1028">
        <v>-214202507.48750812</v>
      </c>
      <c r="W93" s="1030"/>
      <c r="X93" s="1029">
        <f t="shared" si="51"/>
        <v>0</v>
      </c>
      <c r="Y93" s="1024"/>
      <c r="Z93" s="1025" t="s">
        <v>974</v>
      </c>
      <c r="AA93" s="1026"/>
      <c r="AB93" s="1025" t="s">
        <v>1670</v>
      </c>
      <c r="AC93" s="1026"/>
      <c r="AD93" s="1027">
        <v>0</v>
      </c>
      <c r="AE93" s="1026"/>
      <c r="AF93" s="1029">
        <f t="shared" si="52"/>
        <v>0</v>
      </c>
      <c r="AG93" s="1026"/>
      <c r="AH93" s="1019">
        <v>283</v>
      </c>
      <c r="AI93" s="1016"/>
    </row>
    <row r="94" spans="2:35">
      <c r="B94" s="1019">
        <f t="shared" si="53"/>
        <v>78</v>
      </c>
      <c r="C94" s="1020" t="s">
        <v>1730</v>
      </c>
      <c r="D94" s="1020" t="s">
        <v>1731</v>
      </c>
      <c r="E94" s="1021" t="s">
        <v>1668</v>
      </c>
      <c r="F94" s="1028">
        <v>0</v>
      </c>
      <c r="G94" s="1029">
        <f t="shared" si="44"/>
        <v>0</v>
      </c>
      <c r="H94" s="1028">
        <v>0</v>
      </c>
      <c r="I94" s="1029">
        <f t="shared" si="45"/>
        <v>0</v>
      </c>
      <c r="J94" s="1029">
        <f t="shared" si="46"/>
        <v>0</v>
      </c>
      <c r="K94" s="1030"/>
      <c r="L94" s="1028">
        <v>1394047651</v>
      </c>
      <c r="M94" s="1029">
        <f t="shared" si="47"/>
        <v>292750006.70999998</v>
      </c>
      <c r="N94" s="1028">
        <v>139265360.33489999</v>
      </c>
      <c r="O94" s="1029">
        <f t="shared" si="48"/>
        <v>-29245725.670328997</v>
      </c>
      <c r="P94" s="1029">
        <f t="shared" si="49"/>
        <v>402769641.37457097</v>
      </c>
      <c r="Q94" s="1031"/>
      <c r="R94" s="1029">
        <f t="shared" si="50"/>
        <v>-402769641.37457097</v>
      </c>
      <c r="S94" s="1030"/>
      <c r="T94" s="1028">
        <v>0</v>
      </c>
      <c r="U94" s="1030"/>
      <c r="V94" s="1028">
        <v>-402769641.37457097</v>
      </c>
      <c r="W94" s="1030"/>
      <c r="X94" s="1029">
        <f t="shared" si="51"/>
        <v>0</v>
      </c>
      <c r="Y94" s="1024"/>
      <c r="Z94" s="1025" t="s">
        <v>974</v>
      </c>
      <c r="AA94" s="1026"/>
      <c r="AB94" s="1025" t="s">
        <v>1670</v>
      </c>
      <c r="AC94" s="1026"/>
      <c r="AD94" s="1027">
        <v>0</v>
      </c>
      <c r="AE94" s="1026"/>
      <c r="AF94" s="1029">
        <f t="shared" si="52"/>
        <v>0</v>
      </c>
      <c r="AG94" s="1026"/>
      <c r="AH94" s="1019">
        <v>283</v>
      </c>
      <c r="AI94" s="1016"/>
    </row>
    <row r="95" spans="2:35">
      <c r="B95" s="1019">
        <f t="shared" si="53"/>
        <v>79</v>
      </c>
      <c r="C95" s="1020" t="s">
        <v>1732</v>
      </c>
      <c r="D95" s="1020" t="s">
        <v>1732</v>
      </c>
      <c r="E95" s="1021" t="s">
        <v>1668</v>
      </c>
      <c r="F95" s="1028">
        <v>-142280.22</v>
      </c>
      <c r="G95" s="1029">
        <f t="shared" si="44"/>
        <v>-49798.076999999997</v>
      </c>
      <c r="H95" s="1028">
        <v>-14213.793978</v>
      </c>
      <c r="I95" s="1029">
        <f t="shared" si="45"/>
        <v>4974.8278922999998</v>
      </c>
      <c r="J95" s="1029">
        <f t="shared" si="46"/>
        <v>-59037.043085700003</v>
      </c>
      <c r="K95" s="1030"/>
      <c r="L95" s="1028">
        <v>-142280.22</v>
      </c>
      <c r="M95" s="1029">
        <f t="shared" si="47"/>
        <v>-29878.8462</v>
      </c>
      <c r="N95" s="1028">
        <v>-14213.793978</v>
      </c>
      <c r="O95" s="1029">
        <f t="shared" si="48"/>
        <v>2984.8967353799999</v>
      </c>
      <c r="P95" s="1029">
        <f t="shared" si="49"/>
        <v>-41107.743442619998</v>
      </c>
      <c r="Q95" s="1031"/>
      <c r="R95" s="1029">
        <f t="shared" si="50"/>
        <v>-17929.299643080005</v>
      </c>
      <c r="S95" s="1030"/>
      <c r="T95" s="1028">
        <v>0</v>
      </c>
      <c r="U95" s="1030"/>
      <c r="V95" s="1028">
        <v>0</v>
      </c>
      <c r="W95" s="1030"/>
      <c r="X95" s="1029">
        <f t="shared" si="51"/>
        <v>-17929.299643080005</v>
      </c>
      <c r="Y95" s="1024"/>
      <c r="Z95" s="1025" t="s">
        <v>1691</v>
      </c>
      <c r="AA95" s="1026"/>
      <c r="AB95" s="1025" t="s">
        <v>1670</v>
      </c>
      <c r="AC95" s="1026"/>
      <c r="AD95" s="1027">
        <v>0</v>
      </c>
      <c r="AE95" s="1026"/>
      <c r="AF95" s="1029">
        <f t="shared" si="52"/>
        <v>0</v>
      </c>
      <c r="AG95" s="1026"/>
      <c r="AH95" s="1019">
        <v>283</v>
      </c>
      <c r="AI95" s="1016"/>
    </row>
    <row r="96" spans="2:35">
      <c r="B96" s="1019">
        <f t="shared" si="53"/>
        <v>80</v>
      </c>
      <c r="C96" s="1020" t="s">
        <v>906</v>
      </c>
      <c r="D96" s="1020" t="s">
        <v>906</v>
      </c>
      <c r="E96" s="1021" t="s">
        <v>1668</v>
      </c>
      <c r="F96" s="1028">
        <v>0</v>
      </c>
      <c r="G96" s="1029">
        <f t="shared" si="44"/>
        <v>0</v>
      </c>
      <c r="H96" s="1028">
        <v>0</v>
      </c>
      <c r="I96" s="1029">
        <f t="shared" si="45"/>
        <v>0</v>
      </c>
      <c r="J96" s="1029">
        <f t="shared" si="46"/>
        <v>0</v>
      </c>
      <c r="K96" s="1030"/>
      <c r="L96" s="1028">
        <v>0</v>
      </c>
      <c r="M96" s="1029">
        <f t="shared" si="47"/>
        <v>0</v>
      </c>
      <c r="N96" s="1028">
        <v>0</v>
      </c>
      <c r="O96" s="1029">
        <f t="shared" si="48"/>
        <v>0</v>
      </c>
      <c r="P96" s="1029">
        <f t="shared" si="49"/>
        <v>0</v>
      </c>
      <c r="Q96" s="1031"/>
      <c r="R96" s="1029">
        <f t="shared" si="50"/>
        <v>0</v>
      </c>
      <c r="S96" s="1030"/>
      <c r="T96" s="1028">
        <v>0</v>
      </c>
      <c r="U96" s="1030"/>
      <c r="V96" s="1028">
        <v>0</v>
      </c>
      <c r="W96" s="1030"/>
      <c r="X96" s="1029">
        <f t="shared" si="51"/>
        <v>0</v>
      </c>
      <c r="Y96" s="1024"/>
      <c r="Z96" s="1025" t="s">
        <v>974</v>
      </c>
      <c r="AA96" s="1026"/>
      <c r="AB96" s="1025" t="s">
        <v>1670</v>
      </c>
      <c r="AC96" s="1026"/>
      <c r="AD96" s="1027">
        <v>0</v>
      </c>
      <c r="AE96" s="1026"/>
      <c r="AF96" s="1029">
        <f t="shared" si="52"/>
        <v>0</v>
      </c>
      <c r="AG96" s="1026"/>
      <c r="AH96" s="1019">
        <v>283</v>
      </c>
      <c r="AI96" s="1016"/>
    </row>
    <row r="97" spans="2:36">
      <c r="B97" s="1019">
        <f t="shared" si="53"/>
        <v>81</v>
      </c>
      <c r="C97" s="1020" t="s">
        <v>1733</v>
      </c>
      <c r="D97" s="1020" t="s">
        <v>1733</v>
      </c>
      <c r="E97" s="1021" t="s">
        <v>1668</v>
      </c>
      <c r="F97" s="1028">
        <v>0</v>
      </c>
      <c r="G97" s="1029">
        <f t="shared" si="44"/>
        <v>0</v>
      </c>
      <c r="H97" s="1028">
        <v>0</v>
      </c>
      <c r="I97" s="1029">
        <f t="shared" si="45"/>
        <v>0</v>
      </c>
      <c r="J97" s="1029">
        <f t="shared" si="46"/>
        <v>0</v>
      </c>
      <c r="K97" s="1030"/>
      <c r="L97" s="1028">
        <v>0</v>
      </c>
      <c r="M97" s="1029">
        <f t="shared" si="47"/>
        <v>0</v>
      </c>
      <c r="N97" s="1028">
        <v>0</v>
      </c>
      <c r="O97" s="1029">
        <f t="shared" si="48"/>
        <v>0</v>
      </c>
      <c r="P97" s="1029">
        <f t="shared" si="49"/>
        <v>0</v>
      </c>
      <c r="Q97" s="1031"/>
      <c r="R97" s="1029">
        <f t="shared" si="50"/>
        <v>0</v>
      </c>
      <c r="S97" s="1030"/>
      <c r="T97" s="1028">
        <v>0</v>
      </c>
      <c r="U97" s="1030"/>
      <c r="V97" s="1028">
        <v>0</v>
      </c>
      <c r="W97" s="1030"/>
      <c r="X97" s="1029">
        <f t="shared" si="51"/>
        <v>0</v>
      </c>
      <c r="Y97" s="1024"/>
      <c r="Z97" s="1025" t="s">
        <v>1672</v>
      </c>
      <c r="AA97" s="1026"/>
      <c r="AB97" s="1025" t="s">
        <v>1670</v>
      </c>
      <c r="AC97" s="1026"/>
      <c r="AD97" s="1027">
        <v>0</v>
      </c>
      <c r="AE97" s="1026"/>
      <c r="AF97" s="1029">
        <f t="shared" si="52"/>
        <v>0</v>
      </c>
      <c r="AG97" s="1026"/>
      <c r="AH97" s="1019">
        <v>283</v>
      </c>
      <c r="AI97" s="1016"/>
    </row>
    <row r="98" spans="2:36">
      <c r="B98" s="1019">
        <f t="shared" si="53"/>
        <v>82</v>
      </c>
      <c r="C98" s="1020" t="s">
        <v>908</v>
      </c>
      <c r="D98" s="1020" t="s">
        <v>908</v>
      </c>
      <c r="E98" s="1021" t="s">
        <v>1668</v>
      </c>
      <c r="F98" s="1028">
        <v>0</v>
      </c>
      <c r="G98" s="1029">
        <f t="shared" si="44"/>
        <v>0</v>
      </c>
      <c r="H98" s="1028">
        <v>0</v>
      </c>
      <c r="I98" s="1029">
        <f t="shared" si="45"/>
        <v>0</v>
      </c>
      <c r="J98" s="1029">
        <f t="shared" si="46"/>
        <v>0</v>
      </c>
      <c r="K98" s="1030"/>
      <c r="L98" s="1028">
        <v>0</v>
      </c>
      <c r="M98" s="1029">
        <f t="shared" si="47"/>
        <v>0</v>
      </c>
      <c r="N98" s="1028">
        <v>0</v>
      </c>
      <c r="O98" s="1029">
        <f t="shared" si="48"/>
        <v>0</v>
      </c>
      <c r="P98" s="1029">
        <f t="shared" si="49"/>
        <v>0</v>
      </c>
      <c r="Q98" s="1031"/>
      <c r="R98" s="1029">
        <f t="shared" si="50"/>
        <v>0</v>
      </c>
      <c r="S98" s="1030"/>
      <c r="T98" s="1028">
        <v>0</v>
      </c>
      <c r="U98" s="1030"/>
      <c r="V98" s="1028">
        <v>0</v>
      </c>
      <c r="W98" s="1030"/>
      <c r="X98" s="1029">
        <f t="shared" si="51"/>
        <v>0</v>
      </c>
      <c r="Y98" s="1024"/>
      <c r="Z98" s="1025" t="s">
        <v>1669</v>
      </c>
      <c r="AA98" s="1026"/>
      <c r="AB98" s="1025" t="s">
        <v>1670</v>
      </c>
      <c r="AC98" s="1026"/>
      <c r="AD98" s="1027">
        <v>0</v>
      </c>
      <c r="AE98" s="1026"/>
      <c r="AF98" s="1029">
        <f t="shared" si="52"/>
        <v>0</v>
      </c>
      <c r="AG98" s="1026"/>
      <c r="AH98" s="1019">
        <v>283</v>
      </c>
      <c r="AI98" s="1016"/>
    </row>
    <row r="99" spans="2:36">
      <c r="B99" s="1019">
        <f t="shared" si="53"/>
        <v>83</v>
      </c>
      <c r="C99" s="1020" t="s">
        <v>1734</v>
      </c>
      <c r="D99" s="1020" t="s">
        <v>1734</v>
      </c>
      <c r="E99" s="1021" t="s">
        <v>1668</v>
      </c>
      <c r="F99" s="1028">
        <v>0</v>
      </c>
      <c r="G99" s="1029">
        <f t="shared" si="44"/>
        <v>0</v>
      </c>
      <c r="H99" s="1028">
        <v>0</v>
      </c>
      <c r="I99" s="1029">
        <f t="shared" si="45"/>
        <v>0</v>
      </c>
      <c r="J99" s="1029">
        <f t="shared" si="46"/>
        <v>0</v>
      </c>
      <c r="K99" s="1030"/>
      <c r="L99" s="1028">
        <v>0</v>
      </c>
      <c r="M99" s="1029">
        <f t="shared" si="47"/>
        <v>0</v>
      </c>
      <c r="N99" s="1028">
        <v>0</v>
      </c>
      <c r="O99" s="1029">
        <f t="shared" si="48"/>
        <v>0</v>
      </c>
      <c r="P99" s="1029">
        <f t="shared" si="49"/>
        <v>0</v>
      </c>
      <c r="Q99" s="1031"/>
      <c r="R99" s="1029">
        <f t="shared" si="50"/>
        <v>0</v>
      </c>
      <c r="S99" s="1030"/>
      <c r="T99" s="1028">
        <v>0</v>
      </c>
      <c r="U99" s="1030"/>
      <c r="V99" s="1028">
        <v>0</v>
      </c>
      <c r="W99" s="1030"/>
      <c r="X99" s="1029">
        <f t="shared" si="51"/>
        <v>0</v>
      </c>
      <c r="Y99" s="1024"/>
      <c r="Z99" s="1025" t="s">
        <v>458</v>
      </c>
      <c r="AA99" s="1026"/>
      <c r="AB99" s="1025" t="s">
        <v>1670</v>
      </c>
      <c r="AC99" s="1026"/>
      <c r="AD99" s="1027">
        <v>0</v>
      </c>
      <c r="AE99" s="1026"/>
      <c r="AF99" s="1029">
        <f t="shared" si="52"/>
        <v>0</v>
      </c>
      <c r="AG99" s="1026"/>
      <c r="AH99" s="1019">
        <v>283</v>
      </c>
      <c r="AI99" s="1016"/>
    </row>
    <row r="100" spans="2:36">
      <c r="B100" s="1019">
        <f t="shared" si="53"/>
        <v>84</v>
      </c>
      <c r="C100" s="1020" t="s">
        <v>1735</v>
      </c>
      <c r="D100" s="1020" t="s">
        <v>1735</v>
      </c>
      <c r="E100" s="1021" t="s">
        <v>1668</v>
      </c>
      <c r="F100" s="1028">
        <v>0</v>
      </c>
      <c r="G100" s="1029">
        <f t="shared" si="44"/>
        <v>0</v>
      </c>
      <c r="H100" s="1028">
        <v>0</v>
      </c>
      <c r="I100" s="1029">
        <f t="shared" si="45"/>
        <v>0</v>
      </c>
      <c r="J100" s="1029">
        <f t="shared" si="46"/>
        <v>0</v>
      </c>
      <c r="K100" s="1030"/>
      <c r="L100" s="1028">
        <v>0</v>
      </c>
      <c r="M100" s="1029">
        <f t="shared" si="47"/>
        <v>0</v>
      </c>
      <c r="N100" s="1028">
        <v>0</v>
      </c>
      <c r="O100" s="1029">
        <f t="shared" si="48"/>
        <v>0</v>
      </c>
      <c r="P100" s="1029">
        <f t="shared" si="49"/>
        <v>0</v>
      </c>
      <c r="Q100" s="1031"/>
      <c r="R100" s="1029">
        <f t="shared" si="50"/>
        <v>0</v>
      </c>
      <c r="S100" s="1030"/>
      <c r="T100" s="1028">
        <v>0</v>
      </c>
      <c r="U100" s="1030"/>
      <c r="V100" s="1028">
        <v>0</v>
      </c>
      <c r="W100" s="1030"/>
      <c r="X100" s="1029">
        <f t="shared" si="51"/>
        <v>0</v>
      </c>
      <c r="Y100" s="1024"/>
      <c r="Z100" s="1025" t="s">
        <v>1672</v>
      </c>
      <c r="AA100" s="1026"/>
      <c r="AB100" s="1025" t="s">
        <v>1670</v>
      </c>
      <c r="AC100" s="1026"/>
      <c r="AD100" s="1027">
        <v>0</v>
      </c>
      <c r="AE100" s="1026"/>
      <c r="AF100" s="1029">
        <f t="shared" si="52"/>
        <v>0</v>
      </c>
      <c r="AG100" s="1026"/>
      <c r="AH100" s="1019">
        <v>283</v>
      </c>
      <c r="AI100" s="1016"/>
    </row>
    <row r="101" spans="2:36">
      <c r="B101" s="1019">
        <f t="shared" si="53"/>
        <v>85</v>
      </c>
      <c r="C101" s="1020" t="s">
        <v>1736</v>
      </c>
      <c r="D101" s="1020" t="s">
        <v>1736</v>
      </c>
      <c r="E101" s="1021" t="s">
        <v>1668</v>
      </c>
      <c r="F101" s="1028">
        <v>0</v>
      </c>
      <c r="G101" s="1029">
        <f t="shared" si="44"/>
        <v>0</v>
      </c>
      <c r="H101" s="1028">
        <v>0</v>
      </c>
      <c r="I101" s="1029">
        <f t="shared" si="45"/>
        <v>0</v>
      </c>
      <c r="J101" s="1029">
        <f t="shared" si="46"/>
        <v>0</v>
      </c>
      <c r="K101" s="1030"/>
      <c r="L101" s="1028">
        <v>0</v>
      </c>
      <c r="M101" s="1029">
        <f t="shared" si="47"/>
        <v>0</v>
      </c>
      <c r="N101" s="1028">
        <v>0</v>
      </c>
      <c r="O101" s="1029">
        <f t="shared" si="48"/>
        <v>0</v>
      </c>
      <c r="P101" s="1029">
        <f t="shared" si="49"/>
        <v>0</v>
      </c>
      <c r="Q101" s="1031"/>
      <c r="R101" s="1029">
        <f t="shared" si="50"/>
        <v>0</v>
      </c>
      <c r="S101" s="1030"/>
      <c r="T101" s="1028">
        <v>0</v>
      </c>
      <c r="U101" s="1030"/>
      <c r="V101" s="1028">
        <v>0</v>
      </c>
      <c r="W101" s="1030"/>
      <c r="X101" s="1029">
        <f t="shared" si="51"/>
        <v>0</v>
      </c>
      <c r="Y101" s="1024"/>
      <c r="Z101" s="1025" t="s">
        <v>1669</v>
      </c>
      <c r="AA101" s="1026"/>
      <c r="AB101" s="1025" t="s">
        <v>1670</v>
      </c>
      <c r="AC101" s="1026"/>
      <c r="AD101" s="1027">
        <v>0</v>
      </c>
      <c r="AE101" s="1026"/>
      <c r="AF101" s="1029">
        <f t="shared" si="52"/>
        <v>0</v>
      </c>
      <c r="AG101" s="1026"/>
      <c r="AH101" s="1019">
        <v>283</v>
      </c>
      <c r="AI101" s="1016"/>
    </row>
    <row r="102" spans="2:36">
      <c r="B102" s="1019">
        <f t="shared" si="53"/>
        <v>86</v>
      </c>
      <c r="C102" s="1020" t="s">
        <v>1737</v>
      </c>
      <c r="D102" s="1020" t="s">
        <v>1737</v>
      </c>
      <c r="E102" s="1021" t="s">
        <v>1668</v>
      </c>
      <c r="F102" s="1028">
        <v>0</v>
      </c>
      <c r="G102" s="1029">
        <f t="shared" si="44"/>
        <v>0</v>
      </c>
      <c r="H102" s="1028">
        <v>0</v>
      </c>
      <c r="I102" s="1029">
        <f t="shared" si="45"/>
        <v>0</v>
      </c>
      <c r="J102" s="1029">
        <f t="shared" si="46"/>
        <v>0</v>
      </c>
      <c r="K102" s="1030"/>
      <c r="L102" s="1028">
        <v>0</v>
      </c>
      <c r="M102" s="1029">
        <f t="shared" si="47"/>
        <v>0</v>
      </c>
      <c r="N102" s="1028">
        <v>0</v>
      </c>
      <c r="O102" s="1029">
        <f t="shared" si="48"/>
        <v>0</v>
      </c>
      <c r="P102" s="1029">
        <f t="shared" si="49"/>
        <v>0</v>
      </c>
      <c r="Q102" s="1031"/>
      <c r="R102" s="1029">
        <f t="shared" si="50"/>
        <v>0</v>
      </c>
      <c r="S102" s="1030"/>
      <c r="T102" s="1028">
        <v>0</v>
      </c>
      <c r="U102" s="1030"/>
      <c r="V102" s="1028">
        <v>0</v>
      </c>
      <c r="W102" s="1030"/>
      <c r="X102" s="1029">
        <f t="shared" si="51"/>
        <v>0</v>
      </c>
      <c r="Y102" s="1024"/>
      <c r="Z102" s="1025" t="s">
        <v>1669</v>
      </c>
      <c r="AA102" s="1026"/>
      <c r="AB102" s="1025" t="s">
        <v>1670</v>
      </c>
      <c r="AC102" s="1026"/>
      <c r="AD102" s="1027">
        <v>0</v>
      </c>
      <c r="AE102" s="1026"/>
      <c r="AF102" s="1029">
        <f t="shared" si="52"/>
        <v>0</v>
      </c>
      <c r="AG102" s="1026"/>
      <c r="AH102" s="1019">
        <v>283</v>
      </c>
      <c r="AI102" s="1016"/>
    </row>
    <row r="103" spans="2:36">
      <c r="B103" s="1019">
        <f t="shared" si="53"/>
        <v>87</v>
      </c>
      <c r="C103" s="1020" t="s">
        <v>1738</v>
      </c>
      <c r="D103" s="1020" t="s">
        <v>1738</v>
      </c>
      <c r="E103" s="1021" t="s">
        <v>1668</v>
      </c>
      <c r="F103" s="1028">
        <v>0</v>
      </c>
      <c r="G103" s="1029">
        <f t="shared" si="44"/>
        <v>0</v>
      </c>
      <c r="H103" s="1028">
        <v>0</v>
      </c>
      <c r="I103" s="1029">
        <f t="shared" si="45"/>
        <v>0</v>
      </c>
      <c r="J103" s="1029">
        <f t="shared" si="46"/>
        <v>0</v>
      </c>
      <c r="K103" s="1030"/>
      <c r="L103" s="1028">
        <v>0</v>
      </c>
      <c r="M103" s="1029">
        <f t="shared" si="47"/>
        <v>0</v>
      </c>
      <c r="N103" s="1028">
        <v>0</v>
      </c>
      <c r="O103" s="1029">
        <f t="shared" si="48"/>
        <v>0</v>
      </c>
      <c r="P103" s="1029">
        <f t="shared" si="49"/>
        <v>0</v>
      </c>
      <c r="Q103" s="1031"/>
      <c r="R103" s="1029">
        <f t="shared" si="50"/>
        <v>0</v>
      </c>
      <c r="S103" s="1030"/>
      <c r="T103" s="1028">
        <v>0</v>
      </c>
      <c r="U103" s="1030"/>
      <c r="V103" s="1028">
        <v>0</v>
      </c>
      <c r="W103" s="1030"/>
      <c r="X103" s="1029">
        <f t="shared" si="51"/>
        <v>0</v>
      </c>
      <c r="Y103" s="1024"/>
      <c r="Z103" s="1025" t="s">
        <v>1669</v>
      </c>
      <c r="AA103" s="1026"/>
      <c r="AB103" s="1025" t="s">
        <v>1670</v>
      </c>
      <c r="AC103" s="1026"/>
      <c r="AD103" s="1027">
        <v>0</v>
      </c>
      <c r="AE103" s="1026"/>
      <c r="AF103" s="1029">
        <f t="shared" si="52"/>
        <v>0</v>
      </c>
      <c r="AG103" s="1026"/>
      <c r="AH103" s="1019">
        <v>283</v>
      </c>
      <c r="AI103" s="1016"/>
    </row>
    <row r="104" spans="2:36">
      <c r="B104" s="1019">
        <f t="shared" si="53"/>
        <v>88</v>
      </c>
      <c r="C104" s="1020" t="s">
        <v>878</v>
      </c>
      <c r="D104" s="1020" t="s">
        <v>878</v>
      </c>
      <c r="E104" s="1021" t="s">
        <v>1668</v>
      </c>
      <c r="F104" s="1028">
        <v>0</v>
      </c>
      <c r="G104" s="1029">
        <f t="shared" si="44"/>
        <v>0</v>
      </c>
      <c r="H104" s="1028">
        <v>0</v>
      </c>
      <c r="I104" s="1029">
        <f t="shared" si="45"/>
        <v>0</v>
      </c>
      <c r="J104" s="1029">
        <f t="shared" si="46"/>
        <v>0</v>
      </c>
      <c r="K104" s="1030"/>
      <c r="L104" s="1028">
        <v>0</v>
      </c>
      <c r="M104" s="1029">
        <f t="shared" si="47"/>
        <v>0</v>
      </c>
      <c r="N104" s="1028">
        <v>0</v>
      </c>
      <c r="O104" s="1029">
        <f t="shared" si="48"/>
        <v>0</v>
      </c>
      <c r="P104" s="1029">
        <f t="shared" si="49"/>
        <v>0</v>
      </c>
      <c r="Q104" s="1031"/>
      <c r="R104" s="1029">
        <f t="shared" si="50"/>
        <v>0</v>
      </c>
      <c r="S104" s="1030"/>
      <c r="T104" s="1028">
        <v>0</v>
      </c>
      <c r="U104" s="1030"/>
      <c r="V104" s="1028">
        <v>0</v>
      </c>
      <c r="W104" s="1030"/>
      <c r="X104" s="1029">
        <f t="shared" si="51"/>
        <v>0</v>
      </c>
      <c r="Y104" s="1024"/>
      <c r="Z104" s="1025" t="s">
        <v>1672</v>
      </c>
      <c r="AA104" s="1026"/>
      <c r="AB104" s="1025" t="s">
        <v>1670</v>
      </c>
      <c r="AC104" s="1026"/>
      <c r="AD104" s="1027">
        <v>0</v>
      </c>
      <c r="AE104" s="1026"/>
      <c r="AF104" s="1029">
        <f t="shared" si="52"/>
        <v>0</v>
      </c>
      <c r="AG104" s="1026"/>
      <c r="AH104" s="1019">
        <v>283</v>
      </c>
      <c r="AI104" s="1016"/>
    </row>
    <row r="105" spans="2:36">
      <c r="B105" s="1019">
        <f t="shared" si="53"/>
        <v>89</v>
      </c>
      <c r="C105" s="1020" t="s">
        <v>1739</v>
      </c>
      <c r="D105" s="1020" t="s">
        <v>1739</v>
      </c>
      <c r="E105" s="1021" t="s">
        <v>1668</v>
      </c>
      <c r="F105" s="1028">
        <v>0</v>
      </c>
      <c r="G105" s="1029">
        <f t="shared" si="44"/>
        <v>0</v>
      </c>
      <c r="H105" s="1028">
        <v>0</v>
      </c>
      <c r="I105" s="1029">
        <f t="shared" si="45"/>
        <v>0</v>
      </c>
      <c r="J105" s="1029">
        <f t="shared" si="46"/>
        <v>0</v>
      </c>
      <c r="K105" s="1030"/>
      <c r="L105" s="1028">
        <v>0</v>
      </c>
      <c r="M105" s="1029">
        <f t="shared" si="47"/>
        <v>0</v>
      </c>
      <c r="N105" s="1028">
        <v>0</v>
      </c>
      <c r="O105" s="1029">
        <f t="shared" si="48"/>
        <v>0</v>
      </c>
      <c r="P105" s="1029">
        <f t="shared" si="49"/>
        <v>0</v>
      </c>
      <c r="Q105" s="1031"/>
      <c r="R105" s="1029">
        <f t="shared" si="50"/>
        <v>0</v>
      </c>
      <c r="S105" s="1030"/>
      <c r="T105" s="1028">
        <v>0</v>
      </c>
      <c r="U105" s="1030"/>
      <c r="V105" s="1028">
        <v>0</v>
      </c>
      <c r="W105" s="1030"/>
      <c r="X105" s="1029">
        <f t="shared" si="51"/>
        <v>0</v>
      </c>
      <c r="Y105" s="1024"/>
      <c r="Z105" s="1025" t="s">
        <v>1669</v>
      </c>
      <c r="AA105" s="1026"/>
      <c r="AB105" s="1025" t="s">
        <v>1670</v>
      </c>
      <c r="AC105" s="1026"/>
      <c r="AD105" s="1027">
        <v>0</v>
      </c>
      <c r="AE105" s="1026"/>
      <c r="AF105" s="1029">
        <f t="shared" si="52"/>
        <v>0</v>
      </c>
      <c r="AG105" s="1026"/>
      <c r="AH105" s="1019">
        <v>283</v>
      </c>
      <c r="AI105" s="1016"/>
    </row>
    <row r="106" spans="2:36">
      <c r="B106" s="1019">
        <f t="shared" si="53"/>
        <v>90</v>
      </c>
      <c r="C106" s="1020" t="s">
        <v>909</v>
      </c>
      <c r="D106" s="1020" t="s">
        <v>909</v>
      </c>
      <c r="E106" s="1021" t="s">
        <v>1668</v>
      </c>
      <c r="F106" s="1028">
        <v>0</v>
      </c>
      <c r="G106" s="1029">
        <f t="shared" si="44"/>
        <v>0</v>
      </c>
      <c r="H106" s="1028">
        <v>0</v>
      </c>
      <c r="I106" s="1029">
        <f t="shared" si="45"/>
        <v>0</v>
      </c>
      <c r="J106" s="1029">
        <f t="shared" si="46"/>
        <v>0</v>
      </c>
      <c r="K106" s="1030"/>
      <c r="L106" s="1028">
        <v>0</v>
      </c>
      <c r="M106" s="1029">
        <f t="shared" si="47"/>
        <v>0</v>
      </c>
      <c r="N106" s="1028">
        <v>0</v>
      </c>
      <c r="O106" s="1029">
        <f t="shared" si="48"/>
        <v>0</v>
      </c>
      <c r="P106" s="1029">
        <f t="shared" si="49"/>
        <v>0</v>
      </c>
      <c r="Q106" s="1031"/>
      <c r="R106" s="1029">
        <f t="shared" si="50"/>
        <v>0</v>
      </c>
      <c r="S106" s="1030"/>
      <c r="T106" s="1028">
        <v>0</v>
      </c>
      <c r="U106" s="1030"/>
      <c r="V106" s="1028">
        <v>0</v>
      </c>
      <c r="W106" s="1030"/>
      <c r="X106" s="1029">
        <f t="shared" si="51"/>
        <v>0</v>
      </c>
      <c r="Y106" s="1024"/>
      <c r="Z106" s="1025" t="s">
        <v>1669</v>
      </c>
      <c r="AA106" s="1026"/>
      <c r="AB106" s="1025" t="s">
        <v>1670</v>
      </c>
      <c r="AC106" s="1026"/>
      <c r="AD106" s="1027">
        <v>0</v>
      </c>
      <c r="AE106" s="1026"/>
      <c r="AF106" s="1029">
        <f t="shared" si="52"/>
        <v>0</v>
      </c>
      <c r="AG106" s="1026"/>
      <c r="AH106" s="1019">
        <v>283</v>
      </c>
      <c r="AI106" s="1025"/>
    </row>
    <row r="107" spans="2:36">
      <c r="B107" s="1019">
        <f t="shared" si="53"/>
        <v>91</v>
      </c>
      <c r="C107" s="1020" t="s">
        <v>1740</v>
      </c>
      <c r="D107" s="1020" t="s">
        <v>1740</v>
      </c>
      <c r="E107" s="1021" t="s">
        <v>1668</v>
      </c>
      <c r="F107" s="1028">
        <v>0</v>
      </c>
      <c r="G107" s="1029">
        <f t="shared" si="44"/>
        <v>0</v>
      </c>
      <c r="H107" s="1028">
        <v>0</v>
      </c>
      <c r="I107" s="1029">
        <f t="shared" si="45"/>
        <v>0</v>
      </c>
      <c r="J107" s="1029">
        <f t="shared" si="46"/>
        <v>0</v>
      </c>
      <c r="K107" s="1030"/>
      <c r="L107" s="1028">
        <v>0</v>
      </c>
      <c r="M107" s="1029">
        <f t="shared" si="47"/>
        <v>0</v>
      </c>
      <c r="N107" s="1028">
        <v>0</v>
      </c>
      <c r="O107" s="1029">
        <f t="shared" si="48"/>
        <v>0</v>
      </c>
      <c r="P107" s="1029">
        <f t="shared" si="49"/>
        <v>0</v>
      </c>
      <c r="Q107" s="1031"/>
      <c r="R107" s="1029">
        <f t="shared" si="50"/>
        <v>0</v>
      </c>
      <c r="S107" s="1030"/>
      <c r="T107" s="1028">
        <v>0</v>
      </c>
      <c r="U107" s="1030"/>
      <c r="V107" s="1028">
        <v>0</v>
      </c>
      <c r="W107" s="1030"/>
      <c r="X107" s="1029">
        <f t="shared" si="51"/>
        <v>0</v>
      </c>
      <c r="Y107" s="1024"/>
      <c r="Z107" s="1025" t="s">
        <v>1672</v>
      </c>
      <c r="AA107" s="1026"/>
      <c r="AB107" s="1025" t="s">
        <v>1670</v>
      </c>
      <c r="AC107" s="1026"/>
      <c r="AD107" s="1027">
        <v>0</v>
      </c>
      <c r="AE107" s="1026"/>
      <c r="AF107" s="1029">
        <f t="shared" si="52"/>
        <v>0</v>
      </c>
      <c r="AG107" s="1026"/>
      <c r="AH107" s="1019">
        <v>283</v>
      </c>
      <c r="AI107" s="1016"/>
    </row>
    <row r="108" spans="2:36">
      <c r="B108" s="1019">
        <f t="shared" si="53"/>
        <v>92</v>
      </c>
      <c r="C108" s="1020" t="s">
        <v>1698</v>
      </c>
      <c r="D108" s="1020" t="s">
        <v>1698</v>
      </c>
      <c r="E108" s="1021" t="s">
        <v>1668</v>
      </c>
      <c r="F108" s="1028">
        <v>-363402671.63</v>
      </c>
      <c r="G108" s="1029">
        <f>F108*0.35</f>
        <v>-127190935.07049999</v>
      </c>
      <c r="H108" s="1028">
        <v>-36303926.895837002</v>
      </c>
      <c r="I108" s="1029">
        <f>-H108*0.35</f>
        <v>12706374.413542951</v>
      </c>
      <c r="J108" s="1029">
        <f>G108+I108+H108</f>
        <v>-150788487.55279404</v>
      </c>
      <c r="K108" s="1030"/>
      <c r="L108" s="1028">
        <v>-363402671.63</v>
      </c>
      <c r="M108" s="1029">
        <f>L108*0.21</f>
        <v>-76314561.042300001</v>
      </c>
      <c r="N108" s="1028">
        <v>-36303926.895837002</v>
      </c>
      <c r="O108" s="1029">
        <f>-N108*0.21</f>
        <v>7623824.6481257696</v>
      </c>
      <c r="P108" s="1029">
        <f>M108+O108+N108</f>
        <v>-104994663.29001123</v>
      </c>
      <c r="Q108" s="1031"/>
      <c r="R108" s="1029">
        <f>J108-P108</f>
        <v>-45793824.262782812</v>
      </c>
      <c r="S108" s="1030"/>
      <c r="T108" s="1028">
        <v>-26878089.831324961</v>
      </c>
      <c r="U108" s="1030"/>
      <c r="V108" s="1028">
        <v>0</v>
      </c>
      <c r="W108" s="1030"/>
      <c r="X108" s="1029">
        <f>R108-T108-V108</f>
        <v>-18915734.431457851</v>
      </c>
      <c r="Y108" s="1024"/>
      <c r="Z108" s="1025" t="s">
        <v>1672</v>
      </c>
      <c r="AA108" s="1026"/>
      <c r="AB108" s="1025" t="s">
        <v>1673</v>
      </c>
      <c r="AC108" s="1026"/>
      <c r="AD108" s="1027">
        <v>0.23486813650762431</v>
      </c>
      <c r="AE108" s="1026"/>
      <c r="AF108" s="1029">
        <f>X108*AD108</f>
        <v>-4442703.296589612</v>
      </c>
      <c r="AG108" s="1026"/>
      <c r="AH108" s="1019">
        <v>283</v>
      </c>
      <c r="AI108" s="1025"/>
      <c r="AJ108" s="1039"/>
    </row>
    <row r="109" spans="2:36">
      <c r="B109" s="1019">
        <f t="shared" si="53"/>
        <v>93</v>
      </c>
      <c r="C109" s="1020" t="s">
        <v>1741</v>
      </c>
      <c r="D109" s="1020" t="s">
        <v>1741</v>
      </c>
      <c r="E109" s="1021" t="s">
        <v>1668</v>
      </c>
      <c r="F109" s="1028">
        <v>0</v>
      </c>
      <c r="G109" s="1029">
        <f>F109*0.35</f>
        <v>0</v>
      </c>
      <c r="H109" s="1028">
        <v>0</v>
      </c>
      <c r="I109" s="1029">
        <f>-H109*0.35</f>
        <v>0</v>
      </c>
      <c r="J109" s="1029">
        <f>G109+I109+H109</f>
        <v>0</v>
      </c>
      <c r="L109" s="1028">
        <v>0</v>
      </c>
      <c r="M109" s="1029">
        <f>L109*0.21</f>
        <v>0</v>
      </c>
      <c r="N109" s="1028">
        <v>0</v>
      </c>
      <c r="O109" s="1029">
        <f>-N109*0.21</f>
        <v>0</v>
      </c>
      <c r="P109" s="1029">
        <f>M109+O109+N109</f>
        <v>0</v>
      </c>
      <c r="R109" s="1029">
        <f>J109-P109</f>
        <v>0</v>
      </c>
      <c r="T109" s="1028">
        <v>0</v>
      </c>
      <c r="V109" s="1028">
        <v>0</v>
      </c>
      <c r="Z109" s="1025" t="s">
        <v>1669</v>
      </c>
      <c r="AA109" s="1026"/>
      <c r="AB109" s="1025" t="s">
        <v>1670</v>
      </c>
      <c r="AC109" s="1026"/>
      <c r="AD109" s="1027">
        <v>0</v>
      </c>
      <c r="AF109" s="1029">
        <f t="shared" ref="AF109:AF111" si="54">X109*AD109</f>
        <v>0</v>
      </c>
      <c r="AH109" s="1019">
        <v>283</v>
      </c>
    </row>
    <row r="110" spans="2:36">
      <c r="B110" s="1019">
        <f t="shared" si="53"/>
        <v>94</v>
      </c>
      <c r="C110" s="1020" t="s">
        <v>1742</v>
      </c>
      <c r="D110" s="1020" t="s">
        <v>1742</v>
      </c>
      <c r="E110" s="1021" t="s">
        <v>1668</v>
      </c>
      <c r="F110" s="1028">
        <v>-18710444.130000006</v>
      </c>
      <c r="G110" s="1029">
        <f t="shared" si="44"/>
        <v>-6548655.4455000022</v>
      </c>
      <c r="H110" s="1028">
        <v>0</v>
      </c>
      <c r="I110" s="1029">
        <f t="shared" ref="I110" si="55">-H110*0.35</f>
        <v>0</v>
      </c>
      <c r="J110" s="1029">
        <f>G110+I110+H110</f>
        <v>-6548655.4455000022</v>
      </c>
      <c r="K110" s="1030"/>
      <c r="L110" s="1028">
        <v>-18710444.130000006</v>
      </c>
      <c r="M110" s="1029">
        <f t="shared" ref="M110" si="56">L110*0.21</f>
        <v>-3929193.2673000013</v>
      </c>
      <c r="N110" s="1028">
        <v>0</v>
      </c>
      <c r="O110" s="1029">
        <f t="shared" ref="O110" si="57">-N110*0.21</f>
        <v>0</v>
      </c>
      <c r="P110" s="1029">
        <f t="shared" ref="P110" si="58">M110+O110+N110</f>
        <v>-3929193.2673000013</v>
      </c>
      <c r="Q110" s="1031"/>
      <c r="R110" s="1029">
        <f>J110-P110</f>
        <v>-2619462.1782000009</v>
      </c>
      <c r="S110" s="1030"/>
      <c r="T110" s="1028">
        <v>0</v>
      </c>
      <c r="U110" s="1030"/>
      <c r="V110" s="1028">
        <v>0</v>
      </c>
      <c r="W110" s="1030"/>
      <c r="X110" s="1029">
        <f t="shared" ref="X110:X111" si="59">R110-T110-V110</f>
        <v>-2619462.1782000009</v>
      </c>
      <c r="Y110" s="1024"/>
      <c r="Z110" s="1025" t="s">
        <v>1672</v>
      </c>
      <c r="AA110" s="1026"/>
      <c r="AB110" s="1025" t="s">
        <v>1673</v>
      </c>
      <c r="AD110" s="1027">
        <v>9.7022353997819291E-2</v>
      </c>
      <c r="AF110" s="1029">
        <f t="shared" si="54"/>
        <v>-254146.38673721929</v>
      </c>
      <c r="AG110" s="1026"/>
      <c r="AH110" s="1019">
        <v>283</v>
      </c>
      <c r="AI110" s="1016"/>
    </row>
    <row r="111" spans="2:36">
      <c r="B111" s="1019">
        <f t="shared" si="53"/>
        <v>95</v>
      </c>
      <c r="C111" s="1020" t="s">
        <v>1512</v>
      </c>
      <c r="D111" s="1020" t="s">
        <v>1512</v>
      </c>
      <c r="E111" s="1021" t="s">
        <v>1668</v>
      </c>
      <c r="F111" s="1028">
        <v>-23136166.390000001</v>
      </c>
      <c r="G111" s="1029">
        <f>F111*0.35</f>
        <v>-8097658.2364999996</v>
      </c>
      <c r="H111" s="1028">
        <v>-2311303.0223610001</v>
      </c>
      <c r="I111" s="1029">
        <f>-H111*0.35</f>
        <v>808956.05782634998</v>
      </c>
      <c r="J111" s="1029">
        <f>G111+I111+H111</f>
        <v>-9600005.2010346502</v>
      </c>
      <c r="K111" s="1030"/>
      <c r="L111" s="1028">
        <v>-23136166.390000001</v>
      </c>
      <c r="M111" s="1029">
        <f>L111*0.21</f>
        <v>-4858594.9419</v>
      </c>
      <c r="N111" s="1028">
        <v>-2311303.0223610001</v>
      </c>
      <c r="O111" s="1029">
        <f>-N111*0.21</f>
        <v>485373.63469580997</v>
      </c>
      <c r="P111" s="1029">
        <f>M111+O111+N111</f>
        <v>-6684524.3295651898</v>
      </c>
      <c r="Q111" s="1031"/>
      <c r="R111" s="1029">
        <f>J111-P111</f>
        <v>-2915480.8714694604</v>
      </c>
      <c r="S111" s="1030"/>
      <c r="T111" s="1028">
        <v>-2915480.8714694604</v>
      </c>
      <c r="U111" s="1030"/>
      <c r="V111" s="1028">
        <v>0</v>
      </c>
      <c r="W111" s="1030"/>
      <c r="X111" s="1029">
        <f t="shared" si="59"/>
        <v>0</v>
      </c>
      <c r="Y111" s="1024"/>
      <c r="Z111" s="1025" t="s">
        <v>1669</v>
      </c>
      <c r="AA111" s="1026"/>
      <c r="AB111" s="1025" t="s">
        <v>1670</v>
      </c>
      <c r="AC111" s="1026"/>
      <c r="AD111" s="1027">
        <v>0</v>
      </c>
      <c r="AE111" s="1026"/>
      <c r="AF111" s="1029">
        <f t="shared" si="54"/>
        <v>0</v>
      </c>
      <c r="AG111" s="1026"/>
      <c r="AH111" s="1019">
        <v>283</v>
      </c>
      <c r="AI111" s="1016"/>
    </row>
    <row r="112" spans="2:36">
      <c r="B112" s="1019">
        <f t="shared" si="53"/>
        <v>96</v>
      </c>
      <c r="C112" s="1032" t="s">
        <v>1743</v>
      </c>
      <c r="D112" s="1025"/>
      <c r="E112" s="1025"/>
      <c r="F112" s="1033">
        <f>SUM(F85:F111)</f>
        <v>-2144133446.2700002</v>
      </c>
      <c r="G112" s="1033">
        <f>SUM(G85:G111)</f>
        <v>-750446706.19450009</v>
      </c>
      <c r="H112" s="1033">
        <f>SUM(H85:H111)</f>
        <v>-212329757.91378602</v>
      </c>
      <c r="I112" s="1033">
        <f>SUM(I85:I111)</f>
        <v>74315415.269825101</v>
      </c>
      <c r="J112" s="1033">
        <f>SUM(J85:J111)</f>
        <v>-888461048.83846092</v>
      </c>
      <c r="K112" s="1024"/>
      <c r="L112" s="1033">
        <f>SUM(L85:L111)</f>
        <v>-750085795.26999986</v>
      </c>
      <c r="M112" s="1033">
        <f>SUM(M85:M111)</f>
        <v>-157518017.00669998</v>
      </c>
      <c r="N112" s="1033">
        <f>SUM(N85:N111)</f>
        <v>-73064397.578886002</v>
      </c>
      <c r="O112" s="1033">
        <f>SUM(O85:O111)</f>
        <v>15343523.491566062</v>
      </c>
      <c r="P112" s="1033">
        <f>SUM(P85:P111)</f>
        <v>-215238891.09401995</v>
      </c>
      <c r="R112" s="1033">
        <f>SUM(R85:R111)</f>
        <v>-673222157.74444091</v>
      </c>
      <c r="S112" s="1033">
        <f>SUM(S85:S111)</f>
        <v>0</v>
      </c>
      <c r="T112" s="1033">
        <f>SUM(T85:T111)</f>
        <v>-29793570.702794421</v>
      </c>
      <c r="U112" s="1033">
        <f>SUM(U85:U111)</f>
        <v>0</v>
      </c>
      <c r="V112" s="1033">
        <f>SUM(V85:V111)</f>
        <v>-616972148.86207914</v>
      </c>
      <c r="W112" s="1024"/>
      <c r="X112" s="1033">
        <f>SUM(X85:X111)</f>
        <v>-26456438.179567412</v>
      </c>
      <c r="Y112" s="1024"/>
      <c r="Z112" s="1025"/>
      <c r="AA112" s="1026"/>
      <c r="AB112" s="1025"/>
      <c r="AC112" s="1026"/>
      <c r="AD112" s="1026"/>
      <c r="AE112" s="1026"/>
      <c r="AF112" s="1033">
        <f>SUM(AF85:AF111)</f>
        <v>-4718191.6857445072</v>
      </c>
      <c r="AG112" s="1026"/>
      <c r="AI112" s="1025"/>
    </row>
    <row r="113" spans="1:35">
      <c r="B113" s="1019"/>
      <c r="D113" s="1040"/>
      <c r="F113" s="1023"/>
      <c r="G113" s="1023"/>
      <c r="H113" s="1023"/>
      <c r="I113" s="1023"/>
      <c r="J113" s="1023"/>
      <c r="K113" s="1026"/>
      <c r="P113" s="1023"/>
      <c r="R113" s="1023"/>
      <c r="S113" s="1026"/>
      <c r="T113" s="1023"/>
      <c r="U113" s="1026"/>
      <c r="V113" s="1023"/>
      <c r="W113" s="1026"/>
      <c r="X113" s="1023"/>
      <c r="Y113" s="1026"/>
      <c r="AA113" s="1026"/>
      <c r="AC113" s="1026"/>
      <c r="AD113" s="1026"/>
      <c r="AE113" s="1026"/>
      <c r="AF113" s="1023"/>
      <c r="AG113" s="1026"/>
      <c r="AI113" s="1040"/>
    </row>
    <row r="114" spans="1:35" ht="13.5" thickBot="1">
      <c r="B114" s="1019">
        <f>+B112+1</f>
        <v>97</v>
      </c>
      <c r="C114" s="1032" t="s">
        <v>1744</v>
      </c>
      <c r="D114" s="1040"/>
      <c r="E114" s="1041"/>
      <c r="F114" s="1042">
        <f>F54+F82+F112</f>
        <v>-7905298045.9258175</v>
      </c>
      <c r="G114" s="1042">
        <f>G54+G82+G112</f>
        <v>-2766854316.0740356</v>
      </c>
      <c r="H114" s="1042">
        <f>H54+H82+H112</f>
        <v>-683292687.11237705</v>
      </c>
      <c r="I114" s="1042">
        <f>I54+I82+I112</f>
        <v>239152440.4893319</v>
      </c>
      <c r="J114" s="1042">
        <f>J54+J82+J112</f>
        <v>-3210994562.6970806</v>
      </c>
      <c r="K114" s="1026"/>
      <c r="L114" s="1042">
        <f>L54+L82+L112</f>
        <v>-6511250394.9258165</v>
      </c>
      <c r="M114" s="1042">
        <f>M54+M82+M112</f>
        <v>-1367362582.9344218</v>
      </c>
      <c r="N114" s="1042">
        <f>N54+N82+N112</f>
        <v>-544027326.77747703</v>
      </c>
      <c r="O114" s="1042">
        <f>O54+O82+O112</f>
        <v>114245738.62327015</v>
      </c>
      <c r="P114" s="1042">
        <f>P54+P82+P112</f>
        <v>-1797144171.0886281</v>
      </c>
      <c r="R114" s="1042">
        <f>R54+R82+R112</f>
        <v>-1413850391.6084523</v>
      </c>
      <c r="S114" s="1026"/>
      <c r="T114" s="1042">
        <f>T54+T82+T112</f>
        <v>-13504929.532949464</v>
      </c>
      <c r="U114" s="1026"/>
      <c r="V114" s="1042">
        <f>V54+V82+V112</f>
        <v>-824839613.60593104</v>
      </c>
      <c r="W114" s="1026"/>
      <c r="X114" s="1042">
        <f>X54+X82+X112</f>
        <v>-575505848.46957207</v>
      </c>
      <c r="Y114" s="1026"/>
      <c r="Z114" s="1041"/>
      <c r="AA114" s="1026"/>
      <c r="AB114" s="1041"/>
      <c r="AC114" s="1026"/>
      <c r="AD114" s="1043"/>
      <c r="AE114" s="1026"/>
      <c r="AF114" s="1042">
        <f>AF54+AF82+AF112</f>
        <v>-97514051.645802408</v>
      </c>
      <c r="AG114" s="1026"/>
      <c r="AI114" s="1040"/>
    </row>
    <row r="115" spans="1:35" ht="15.75" customHeight="1" thickTop="1">
      <c r="F115" s="1023"/>
      <c r="G115" s="1023"/>
      <c r="H115" s="1023"/>
      <c r="I115" s="1023"/>
      <c r="R115" s="1044"/>
      <c r="T115" s="1044"/>
    </row>
    <row r="116" spans="1:35" ht="15.75" customHeight="1">
      <c r="F116" s="1023"/>
      <c r="G116" s="1023"/>
      <c r="H116" s="1023"/>
      <c r="I116" s="1023"/>
    </row>
    <row r="117" spans="1:35">
      <c r="F117" s="1023"/>
      <c r="G117" s="1023"/>
      <c r="H117" s="1023"/>
      <c r="I117" s="1023"/>
      <c r="R117" s="1044"/>
      <c r="V117" s="1045" t="s">
        <v>1163</v>
      </c>
      <c r="X117" s="1046">
        <f>SUMIF($E$11:$E$115,V117,$X$11:$X$115)</f>
        <v>-538470685.40399981</v>
      </c>
      <c r="AF117" s="1046">
        <f>SUMIF($E:$E,V117,$AF:$AF)</f>
        <v>-80811252.039833158</v>
      </c>
    </row>
    <row r="118" spans="1:35" ht="15.75" customHeight="1">
      <c r="R118" s="1047"/>
      <c r="V118" s="1048"/>
      <c r="X118" s="1049"/>
    </row>
    <row r="119" spans="1:35">
      <c r="R119" s="1050"/>
      <c r="V119" s="1045" t="s">
        <v>1716</v>
      </c>
      <c r="X119" s="1049">
        <f>SUMIF($E$11:$E$115,V119,$X$11:$X$115)</f>
        <v>-71976697.88000001</v>
      </c>
      <c r="AF119" s="1049">
        <f>SUMIF($E:$E,V119,$AF:$AF)</f>
        <v>-16962820.502021428</v>
      </c>
    </row>
    <row r="120" spans="1:35" ht="15.75" customHeight="1">
      <c r="V120" s="1045" t="s">
        <v>1668</v>
      </c>
      <c r="X120" s="1049">
        <f>SUMIF($E$11:$E$115,V120,$X$11:$X$115)</f>
        <v>34941534.814427979</v>
      </c>
      <c r="AF120" s="1049">
        <f>SUMIF($E:$E,V120,$AF:$AF)</f>
        <v>260020.89605217683</v>
      </c>
    </row>
    <row r="121" spans="1:35" ht="5.15" customHeight="1">
      <c r="V121" s="1016"/>
      <c r="X121" s="1049"/>
    </row>
    <row r="122" spans="1:35" ht="15.75" customHeight="1">
      <c r="V122" s="1051" t="s">
        <v>1745</v>
      </c>
      <c r="X122" s="1052">
        <f>SUM(X119:X121)</f>
        <v>-37035163.065572031</v>
      </c>
      <c r="AF122" s="1052">
        <f>SUM(AF119:AF121)</f>
        <v>-16702799.605969252</v>
      </c>
    </row>
    <row r="123" spans="1:35">
      <c r="V123" s="1048"/>
      <c r="X123" s="1049"/>
      <c r="AF123" s="1049"/>
    </row>
    <row r="124" spans="1:35" ht="15.75" customHeight="1" thickBot="1">
      <c r="T124" s="1053"/>
      <c r="V124" s="1051" t="s">
        <v>1746</v>
      </c>
      <c r="X124" s="1054">
        <f>X117+X122</f>
        <v>-575505848.46957183</v>
      </c>
      <c r="AF124" s="1054">
        <f>AF117+AF122</f>
        <v>-97514051.645802408</v>
      </c>
    </row>
    <row r="125" spans="1:35" ht="15.75" customHeight="1" thickTop="1">
      <c r="V125" s="1053"/>
      <c r="X125" s="1029"/>
      <c r="AF125" s="1029"/>
      <c r="AH125" s="1055"/>
    </row>
    <row r="126" spans="1:35" ht="15.75" customHeight="1">
      <c r="A126" s="1056"/>
      <c r="B126" s="1056" t="s">
        <v>1747</v>
      </c>
      <c r="C126" s="1056"/>
      <c r="D126" s="1056"/>
      <c r="E126" s="1056"/>
      <c r="F126" s="1056"/>
      <c r="G126" s="1056"/>
      <c r="H126" s="1056"/>
      <c r="I126" s="1056"/>
      <c r="J126" s="1056"/>
      <c r="K126" s="1056"/>
      <c r="L126" s="1056"/>
      <c r="M126" s="1056"/>
      <c r="N126" s="1056"/>
      <c r="O126" s="1056"/>
      <c r="P126" s="1056"/>
      <c r="Q126" s="1056"/>
      <c r="R126" s="1056"/>
      <c r="S126" s="1056"/>
      <c r="T126" s="1056"/>
      <c r="U126" s="1056"/>
      <c r="V126" s="1056"/>
      <c r="W126" s="1056"/>
      <c r="X126" s="1056"/>
      <c r="Y126" s="1056"/>
      <c r="Z126" s="1056"/>
      <c r="AA126" s="1056"/>
      <c r="AB126" s="1056"/>
      <c r="AC126" s="1056"/>
      <c r="AD126" s="1056"/>
      <c r="AE126" s="1056"/>
      <c r="AF126" s="1056"/>
      <c r="AG126" s="1056"/>
      <c r="AH126" s="1056"/>
      <c r="AI126" s="1056"/>
    </row>
    <row r="127" spans="1:35" ht="15.75" customHeight="1">
      <c r="V127" s="1053"/>
      <c r="X127" s="1029"/>
      <c r="AF127" s="1029"/>
    </row>
    <row r="128" spans="1:35" ht="12.75" customHeight="1">
      <c r="B128" s="1157" t="s">
        <v>1748</v>
      </c>
      <c r="C128" s="1157"/>
      <c r="D128" s="1157"/>
      <c r="E128" s="1157"/>
      <c r="F128" s="1157"/>
      <c r="V128" s="1053"/>
      <c r="X128" s="1029"/>
      <c r="AF128" s="1029"/>
    </row>
    <row r="129" spans="1:35">
      <c r="B129" s="1157"/>
      <c r="C129" s="1157"/>
      <c r="D129" s="1157"/>
      <c r="E129" s="1157"/>
      <c r="F129" s="1157"/>
      <c r="V129" s="1053"/>
      <c r="X129" s="1029"/>
      <c r="AF129" s="1029"/>
    </row>
    <row r="130" spans="1:35">
      <c r="B130" s="1157"/>
      <c r="C130" s="1157"/>
      <c r="D130" s="1157"/>
      <c r="E130" s="1157"/>
      <c r="F130" s="1157"/>
      <c r="V130" s="1053"/>
      <c r="X130" s="1029"/>
      <c r="AF130" s="1029"/>
    </row>
    <row r="131" spans="1:35">
      <c r="B131" s="1157"/>
      <c r="C131" s="1157"/>
      <c r="D131" s="1157"/>
      <c r="E131" s="1157"/>
      <c r="F131" s="1157"/>
      <c r="V131" s="1053"/>
      <c r="X131" s="1029"/>
      <c r="AF131" s="1029"/>
    </row>
    <row r="132" spans="1:35">
      <c r="B132" s="1157"/>
      <c r="C132" s="1157"/>
      <c r="D132" s="1157"/>
      <c r="E132" s="1157"/>
      <c r="F132" s="1157"/>
      <c r="V132" s="1053"/>
      <c r="X132" s="1029"/>
      <c r="AF132" s="1029"/>
    </row>
    <row r="133" spans="1:35">
      <c r="B133" s="1157"/>
      <c r="C133" s="1157"/>
      <c r="D133" s="1157"/>
      <c r="E133" s="1157"/>
      <c r="F133" s="1157"/>
      <c r="V133" s="1053"/>
      <c r="X133" s="1029"/>
      <c r="AF133" s="1029"/>
    </row>
    <row r="134" spans="1:35">
      <c r="B134" s="1157"/>
      <c r="C134" s="1157"/>
      <c r="D134" s="1157"/>
      <c r="E134" s="1157"/>
      <c r="F134" s="1157"/>
      <c r="V134" s="1053"/>
      <c r="X134" s="1029"/>
      <c r="AF134" s="1029"/>
    </row>
    <row r="135" spans="1:35">
      <c r="B135" s="1157"/>
      <c r="C135" s="1157"/>
      <c r="D135" s="1157"/>
      <c r="E135" s="1157"/>
      <c r="F135" s="1157"/>
      <c r="V135" s="1053"/>
      <c r="X135" s="1029"/>
      <c r="AF135" s="1029"/>
    </row>
    <row r="136" spans="1:35">
      <c r="B136" s="1157"/>
      <c r="C136" s="1157"/>
      <c r="D136" s="1157"/>
      <c r="E136" s="1157"/>
      <c r="F136" s="1157"/>
      <c r="V136" s="1053"/>
      <c r="X136" s="1029"/>
      <c r="AF136" s="1029"/>
    </row>
    <row r="137" spans="1:35">
      <c r="B137" s="1157"/>
      <c r="C137" s="1157"/>
      <c r="D137" s="1157"/>
      <c r="E137" s="1157"/>
      <c r="F137" s="1157"/>
      <c r="V137" s="1053"/>
      <c r="X137" s="1029"/>
      <c r="AF137" s="1029"/>
    </row>
    <row r="138" spans="1:35">
      <c r="B138" s="1157"/>
      <c r="C138" s="1157"/>
      <c r="D138" s="1157"/>
      <c r="E138" s="1157"/>
      <c r="F138" s="1157"/>
      <c r="V138" s="1053"/>
      <c r="X138" s="1029"/>
      <c r="AF138" s="1029"/>
    </row>
    <row r="139" spans="1:35">
      <c r="B139" s="1157"/>
      <c r="C139" s="1157"/>
      <c r="D139" s="1157"/>
      <c r="E139" s="1157"/>
      <c r="F139" s="1157"/>
      <c r="V139" s="1053"/>
      <c r="X139" s="1029"/>
      <c r="AF139" s="1029"/>
    </row>
    <row r="140" spans="1:35">
      <c r="B140" s="1157"/>
      <c r="C140" s="1157"/>
      <c r="D140" s="1157"/>
      <c r="E140" s="1157"/>
      <c r="F140" s="1157"/>
      <c r="V140" s="1053"/>
      <c r="X140" s="1029"/>
      <c r="AF140" s="1029"/>
    </row>
    <row r="141" spans="1:35" ht="12.75" customHeight="1">
      <c r="B141" s="1164" t="s">
        <v>1749</v>
      </c>
      <c r="C141" s="1164"/>
      <c r="D141" s="1164"/>
      <c r="E141" s="1164"/>
      <c r="F141" s="1164"/>
      <c r="G141" s="1057"/>
      <c r="H141" s="1057"/>
      <c r="I141" s="1057"/>
      <c r="J141" s="1057"/>
      <c r="K141" s="1057"/>
      <c r="L141" s="1057"/>
      <c r="M141" s="1057"/>
      <c r="N141" s="1057"/>
      <c r="O141" s="1057"/>
      <c r="AH141" s="1000"/>
      <c r="AI141" s="1000"/>
    </row>
    <row r="142" spans="1:35">
      <c r="B142" s="1164"/>
      <c r="C142" s="1164"/>
      <c r="D142" s="1164"/>
      <c r="E142" s="1164"/>
      <c r="F142" s="1164"/>
      <c r="G142" s="1057"/>
      <c r="H142" s="1057"/>
      <c r="I142" s="1057"/>
      <c r="J142" s="1057"/>
      <c r="K142" s="1057"/>
      <c r="L142" s="1057"/>
      <c r="M142" s="1057"/>
      <c r="N142" s="1057"/>
      <c r="O142" s="1057"/>
      <c r="AH142" s="1000"/>
      <c r="AI142" s="1000"/>
    </row>
    <row r="143" spans="1:35">
      <c r="B143" s="1058"/>
      <c r="C143" s="1058"/>
      <c r="D143" s="1058"/>
      <c r="AH143" s="1000"/>
      <c r="AI143" s="1000"/>
    </row>
    <row r="144" spans="1:35" ht="15.75" customHeight="1">
      <c r="A144" s="1056"/>
      <c r="B144" s="1056" t="s">
        <v>1750</v>
      </c>
      <c r="C144" s="1056"/>
      <c r="D144" s="1056"/>
      <c r="E144" s="1056"/>
      <c r="F144" s="1056"/>
      <c r="G144" s="1056"/>
      <c r="H144" s="1056"/>
      <c r="I144" s="1056"/>
      <c r="J144" s="1056"/>
      <c r="K144" s="1056"/>
      <c r="L144" s="1056"/>
      <c r="M144" s="1056"/>
      <c r="N144" s="1056"/>
      <c r="O144" s="1056"/>
      <c r="P144" s="1056"/>
      <c r="Q144" s="1056"/>
      <c r="R144" s="1056"/>
      <c r="S144" s="1056"/>
      <c r="T144" s="1056"/>
      <c r="U144" s="1056"/>
      <c r="V144" s="1056"/>
      <c r="W144" s="1056"/>
      <c r="X144" s="1056"/>
      <c r="Y144" s="1056"/>
      <c r="Z144" s="1056"/>
      <c r="AA144" s="1056"/>
      <c r="AB144" s="1056"/>
      <c r="AC144" s="1056"/>
      <c r="AD144" s="1056"/>
      <c r="AE144" s="1056"/>
      <c r="AF144" s="1056"/>
      <c r="AG144" s="1056"/>
      <c r="AH144" s="1056"/>
      <c r="AI144" s="1056"/>
    </row>
    <row r="145" spans="1:35">
      <c r="B145" s="1058"/>
      <c r="C145" s="1058"/>
      <c r="D145" s="1058"/>
      <c r="AH145" s="1000"/>
      <c r="AI145" s="1000"/>
    </row>
    <row r="146" spans="1:35" ht="15.75" customHeight="1">
      <c r="B146" s="1059" t="s">
        <v>58</v>
      </c>
      <c r="C146" s="1156" t="s">
        <v>1751</v>
      </c>
      <c r="D146" s="1156"/>
      <c r="E146" s="1156"/>
      <c r="F146" s="1156"/>
      <c r="X146" s="1003"/>
      <c r="AH146" s="1000"/>
      <c r="AI146" s="1000"/>
    </row>
    <row r="147" spans="1:35" ht="15.75" customHeight="1">
      <c r="B147" s="1059"/>
      <c r="C147" s="1156"/>
      <c r="D147" s="1156"/>
      <c r="E147" s="1156"/>
      <c r="F147" s="1156"/>
      <c r="X147" s="1003"/>
      <c r="AH147" s="1000"/>
      <c r="AI147" s="1000"/>
    </row>
    <row r="148" spans="1:35" ht="15.75" customHeight="1">
      <c r="B148" s="1059"/>
      <c r="C148" s="1156"/>
      <c r="D148" s="1156"/>
      <c r="E148" s="1156"/>
      <c r="F148" s="1156"/>
      <c r="X148" s="1003"/>
      <c r="AH148" s="1000"/>
      <c r="AI148" s="1000"/>
    </row>
    <row r="149" spans="1:35">
      <c r="B149" s="1058"/>
      <c r="C149" s="1156"/>
      <c r="D149" s="1156"/>
      <c r="E149" s="1156"/>
      <c r="F149" s="1156"/>
      <c r="AH149" s="1000"/>
      <c r="AI149" s="1000"/>
    </row>
    <row r="150" spans="1:35" ht="15.75" customHeight="1">
      <c r="B150" s="1060" t="s">
        <v>59</v>
      </c>
      <c r="C150" s="1157" t="s">
        <v>1752</v>
      </c>
      <c r="D150" s="1157"/>
      <c r="E150" s="1157"/>
      <c r="F150" s="1157"/>
      <c r="AH150" s="1000"/>
      <c r="AI150" s="1000"/>
    </row>
    <row r="151" spans="1:35">
      <c r="C151" s="1157"/>
      <c r="D151" s="1157"/>
      <c r="E151" s="1157"/>
      <c r="F151" s="1157"/>
      <c r="AH151" s="1000"/>
      <c r="AI151" s="1000"/>
    </row>
    <row r="152" spans="1:35">
      <c r="B152" s="1060" t="s">
        <v>60</v>
      </c>
      <c r="C152" s="1157" t="s">
        <v>1753</v>
      </c>
      <c r="D152" s="1157"/>
      <c r="E152" s="1157"/>
      <c r="F152" s="1157"/>
      <c r="AH152" s="1000"/>
      <c r="AI152" s="1000"/>
    </row>
    <row r="153" spans="1:35">
      <c r="C153" s="1157"/>
      <c r="D153" s="1157"/>
      <c r="E153" s="1157"/>
      <c r="F153" s="1157"/>
      <c r="AH153" s="1000"/>
      <c r="AI153" s="1000"/>
    </row>
    <row r="154" spans="1:35" ht="15.75" customHeight="1">
      <c r="C154" s="1002" t="s">
        <v>2</v>
      </c>
      <c r="AH154" s="1000"/>
      <c r="AI154" s="1000"/>
    </row>
    <row r="155" spans="1:35">
      <c r="AH155" s="1000"/>
      <c r="AI155" s="1000"/>
    </row>
    <row r="156" spans="1:35" ht="15.75" customHeight="1">
      <c r="A156" s="1061" t="s">
        <v>1754</v>
      </c>
      <c r="B156" s="1061"/>
      <c r="C156" s="1062"/>
      <c r="D156" s="1063"/>
      <c r="E156" s="1063"/>
      <c r="F156" s="1064"/>
      <c r="G156" s="1063"/>
      <c r="H156" s="1063"/>
      <c r="I156" s="1063"/>
      <c r="J156" s="1063"/>
      <c r="K156" s="1063"/>
      <c r="L156" s="1063"/>
      <c r="M156" s="1063"/>
      <c r="N156" s="1063"/>
      <c r="O156" s="1063"/>
      <c r="P156" s="1063"/>
      <c r="Q156" s="1063"/>
      <c r="R156" s="1063"/>
      <c r="S156" s="1063"/>
      <c r="T156" s="1063"/>
      <c r="U156" s="1063"/>
      <c r="V156" s="1063"/>
      <c r="W156" s="1063"/>
      <c r="X156" s="1063"/>
      <c r="Y156" s="1063"/>
      <c r="Z156" s="1063"/>
      <c r="AA156" s="1063"/>
      <c r="AB156" s="1063"/>
      <c r="AC156" s="1063"/>
      <c r="AD156" s="1063"/>
      <c r="AE156" s="1063"/>
      <c r="AF156" s="1063"/>
      <c r="AG156" s="1063"/>
      <c r="AH156" s="1063"/>
      <c r="AI156" s="1063"/>
    </row>
    <row r="157" spans="1:35" s="1016" customFormat="1" ht="14">
      <c r="V157" s="997"/>
      <c r="X157" s="1031"/>
      <c r="AH157" s="1038"/>
    </row>
    <row r="159" spans="1:35" ht="15.75" customHeight="1">
      <c r="X159" s="1003"/>
    </row>
    <row r="160" spans="1:35">
      <c r="D160" s="1002" t="s">
        <v>2</v>
      </c>
    </row>
    <row r="161" spans="24:24" ht="15.75" customHeight="1">
      <c r="X161" s="1003"/>
    </row>
    <row r="163" spans="24:24" ht="15.75" customHeight="1"/>
    <row r="165" spans="24:24" ht="15.75" customHeight="1"/>
    <row r="167" spans="24:24" ht="15.75" customHeight="1"/>
    <row r="169" spans="24:24" ht="15.75" customHeight="1"/>
    <row r="171" spans="24:24" ht="15.75" customHeight="1"/>
    <row r="173" spans="24:24" ht="15.75" customHeight="1"/>
    <row r="175" spans="24:24" ht="15.75" customHeight="1"/>
    <row r="177" ht="15.75" customHeight="1"/>
    <row r="179" ht="15.75" customHeight="1"/>
    <row r="181" ht="15.75" customHeight="1"/>
    <row r="183" ht="15.75" customHeight="1"/>
    <row r="185" ht="15.75" customHeight="1"/>
    <row r="187" ht="15.75" customHeight="1"/>
    <row r="189" ht="15.75" customHeight="1"/>
    <row r="191" ht="15.75" customHeight="1"/>
    <row r="193" ht="15.75" customHeight="1"/>
    <row r="195" ht="15.75" customHeight="1"/>
    <row r="197" ht="15.75" customHeight="1"/>
    <row r="199" ht="15.75" customHeight="1"/>
    <row r="201" ht="15.75" customHeight="1"/>
    <row r="203" ht="15.75" customHeight="1"/>
    <row r="205" ht="15.75" customHeight="1"/>
    <row r="207" ht="15.75" customHeight="1"/>
    <row r="209" ht="15.75" customHeight="1"/>
    <row r="211" ht="15.75" customHeight="1"/>
    <row r="213" ht="15.75" customHeight="1"/>
    <row r="215" ht="15.75" customHeight="1"/>
    <row r="217" ht="15.75" customHeight="1"/>
    <row r="219" ht="15.75" customHeight="1"/>
    <row r="221" ht="15.75" customHeight="1"/>
    <row r="223" ht="15.75" customHeight="1"/>
    <row r="225" ht="15.75" customHeight="1"/>
    <row r="227" ht="15.75" customHeight="1"/>
    <row r="229" ht="15.75" customHeight="1"/>
    <row r="231" ht="15.75" customHeight="1"/>
    <row r="233" ht="15.75" customHeight="1"/>
    <row r="235" ht="15.75" customHeight="1"/>
    <row r="237" ht="15.75" customHeight="1"/>
    <row r="239" ht="15.75" customHeight="1"/>
    <row r="241" ht="15.75" customHeight="1"/>
    <row r="243" ht="15.75" customHeight="1"/>
    <row r="245" ht="15.75" customHeight="1"/>
    <row r="247" ht="15.75" customHeight="1"/>
    <row r="249" ht="15.75" customHeight="1"/>
    <row r="251" ht="15.75" customHeight="1"/>
    <row r="253" ht="15.75" customHeight="1"/>
    <row r="255" ht="15.75" customHeight="1"/>
    <row r="257" ht="15.75" customHeight="1"/>
    <row r="259" ht="15.75" customHeight="1"/>
    <row r="261" ht="15.75" customHeight="1"/>
    <row r="263" ht="15.75" customHeight="1"/>
    <row r="265" ht="15.75" customHeight="1"/>
    <row r="267" ht="15.75" customHeight="1"/>
    <row r="269" ht="15.75" customHeight="1"/>
    <row r="271" ht="15.75" customHeight="1"/>
    <row r="273" ht="15.75" customHeight="1"/>
    <row r="275" ht="15.75" customHeight="1"/>
    <row r="277" ht="15.75" customHeight="1"/>
    <row r="279" ht="15.75" customHeight="1"/>
    <row r="281" ht="15.75" customHeight="1"/>
    <row r="283" ht="15.75" customHeight="1"/>
    <row r="285" ht="15.75" customHeight="1"/>
    <row r="287" ht="15.75" customHeight="1"/>
    <row r="289" ht="15.75" customHeight="1"/>
    <row r="291" ht="15.75" customHeight="1"/>
    <row r="293" ht="15.75" customHeight="1"/>
    <row r="295" ht="15.75" customHeight="1"/>
    <row r="297" ht="15.75" customHeight="1"/>
    <row r="299" ht="15.75" customHeight="1"/>
    <row r="301" ht="15.75" customHeight="1"/>
    <row r="303" ht="15.75" customHeight="1"/>
    <row r="305" ht="15.75" customHeight="1"/>
    <row r="307" ht="15.75" customHeight="1"/>
    <row r="309" ht="15.75" customHeight="1"/>
    <row r="311" ht="15.75" customHeight="1"/>
    <row r="313" ht="15.75" customHeight="1"/>
    <row r="315" ht="15.75" customHeight="1"/>
    <row r="317" ht="15.75" customHeight="1"/>
    <row r="319" ht="15.75" customHeight="1"/>
    <row r="321" ht="15.75" customHeight="1"/>
    <row r="323" ht="15.75" customHeight="1"/>
    <row r="325" ht="15.75" customHeight="1"/>
    <row r="327" ht="15.75" customHeight="1"/>
    <row r="329" ht="15.75" customHeight="1"/>
    <row r="331" ht="15.75" customHeight="1"/>
    <row r="333" ht="15.75" customHeight="1"/>
    <row r="335" ht="15.75" customHeight="1"/>
    <row r="337" ht="15.75" customHeight="1"/>
    <row r="339" ht="15.75" customHeight="1"/>
    <row r="341" ht="15.75" customHeight="1"/>
    <row r="343" ht="15.75" customHeight="1"/>
    <row r="345" ht="15.75" customHeight="1"/>
    <row r="347" ht="15.75" customHeight="1"/>
    <row r="349" ht="15.75" customHeight="1"/>
    <row r="351" ht="15.75" customHeight="1"/>
    <row r="353" ht="15.75" customHeight="1"/>
    <row r="355" ht="15.75" customHeight="1"/>
    <row r="357" ht="15.75" customHeight="1"/>
    <row r="359" ht="15.75" customHeight="1"/>
    <row r="361" ht="15.75" customHeight="1"/>
    <row r="363" ht="15.75" customHeight="1"/>
    <row r="365" ht="15.75" customHeight="1"/>
  </sheetData>
  <mergeCells count="9">
    <mergeCell ref="C146:F149"/>
    <mergeCell ref="C150:F151"/>
    <mergeCell ref="C152:F153"/>
    <mergeCell ref="B5:AH5"/>
    <mergeCell ref="F7:J7"/>
    <mergeCell ref="L7:P7"/>
    <mergeCell ref="R7:AF7"/>
    <mergeCell ref="B128:F140"/>
    <mergeCell ref="B141:F142"/>
  </mergeCells>
  <pageMargins left="0.7" right="0.7" top="0.75" bottom="0.75" header="0.3" footer="0.3"/>
  <pageSetup paperSize="3" scale="32"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Q28"/>
  <sheetViews>
    <sheetView view="pageBreakPreview" zoomScale="60" zoomScaleNormal="70" workbookViewId="0">
      <selection activeCell="U18" sqref="U18"/>
    </sheetView>
  </sheetViews>
  <sheetFormatPr defaultColWidth="8.84375" defaultRowHeight="15.5"/>
  <cols>
    <col min="1" max="1" width="4.84375" style="747" customWidth="1"/>
    <col min="2" max="2" width="5.07421875" style="16" customWidth="1"/>
    <col min="3" max="3" width="17.3046875" style="16" customWidth="1"/>
    <col min="4" max="8" width="8.84375" style="16"/>
    <col min="9" max="9" width="15.3046875" style="16" bestFit="1" customWidth="1"/>
    <col min="10" max="17" width="8.84375" style="16"/>
    <col min="18" max="18" width="17.765625" style="16" customWidth="1"/>
    <col min="19" max="16384" width="8.84375" style="16"/>
  </cols>
  <sheetData>
    <row r="1" spans="1:13" s="540" customFormat="1" ht="15" customHeight="1">
      <c r="A1" s="852"/>
      <c r="B1" s="1165" t="s">
        <v>1153</v>
      </c>
      <c r="C1" s="1165"/>
      <c r="D1" s="1165"/>
      <c r="E1" s="1165"/>
      <c r="F1" s="1165"/>
      <c r="G1" s="1165"/>
      <c r="H1" s="1165"/>
      <c r="I1" s="1165"/>
      <c r="J1" s="866"/>
      <c r="M1" s="867"/>
    </row>
    <row r="2" spans="1:13" s="540" customFormat="1" ht="15" customHeight="1">
      <c r="A2" s="852"/>
      <c r="B2" s="1166" t="s">
        <v>1151</v>
      </c>
      <c r="C2" s="1166"/>
      <c r="D2" s="1166"/>
      <c r="E2" s="1166"/>
      <c r="F2" s="1166"/>
      <c r="G2" s="1166"/>
      <c r="H2" s="1166"/>
      <c r="I2" s="1166"/>
      <c r="J2" s="866"/>
      <c r="K2" s="866"/>
      <c r="M2" s="868"/>
    </row>
    <row r="3" spans="1:13" s="540" customFormat="1" ht="15" customHeight="1">
      <c r="A3" s="852"/>
      <c r="B3" s="1167" t="str">
        <f>+'Attachment H-7'!D5</f>
        <v>PECO Energy Company</v>
      </c>
      <c r="C3" s="1167"/>
      <c r="D3" s="1167"/>
      <c r="E3" s="1167"/>
      <c r="F3" s="1167"/>
      <c r="G3" s="1167"/>
      <c r="H3" s="1167"/>
      <c r="I3" s="1167"/>
      <c r="J3" s="866"/>
      <c r="K3" s="866"/>
    </row>
    <row r="4" spans="1:13">
      <c r="J4" s="16" t="s">
        <v>207</v>
      </c>
    </row>
    <row r="5" spans="1:13">
      <c r="A5" s="747">
        <v>1</v>
      </c>
      <c r="B5" s="16" t="s">
        <v>1143</v>
      </c>
      <c r="I5" s="232">
        <f>IF('4- Rate Base'!J44&gt;33000000, 33000000, '4- Rate Base'!J44)</f>
        <v>30324231.779104345</v>
      </c>
      <c r="J5" s="95" t="s">
        <v>1301</v>
      </c>
    </row>
    <row r="7" spans="1:13">
      <c r="B7" s="16" t="s">
        <v>1305</v>
      </c>
    </row>
    <row r="8" spans="1:13">
      <c r="A8" s="747">
        <v>2</v>
      </c>
      <c r="C8" s="16" t="s">
        <v>1146</v>
      </c>
      <c r="I8" s="848">
        <f>'4B - ADIT BOY'!G153*'4A - ADIT Summary'!L12</f>
        <v>-9609447.7087552212</v>
      </c>
      <c r="J8" s="95" t="s">
        <v>1302</v>
      </c>
    </row>
    <row r="9" spans="1:13">
      <c r="A9" s="747">
        <v>3</v>
      </c>
      <c r="C9" s="16" t="s">
        <v>1147</v>
      </c>
      <c r="I9" s="972">
        <f>'4C - ADIT EOY'!G146*'4A - ADIT Summary'!$L$12</f>
        <v>-9806061.908934461</v>
      </c>
      <c r="J9" s="95" t="s">
        <v>1303</v>
      </c>
    </row>
    <row r="10" spans="1:13">
      <c r="A10" s="747">
        <v>4</v>
      </c>
      <c r="C10" s="16" t="s">
        <v>1145</v>
      </c>
      <c r="I10" s="232">
        <f>AVERAGE(I8:I9)</f>
        <v>-9707754.808844842</v>
      </c>
      <c r="J10" s="748" t="s">
        <v>1304</v>
      </c>
    </row>
    <row r="11" spans="1:13">
      <c r="J11" s="748"/>
    </row>
    <row r="12" spans="1:13">
      <c r="A12" s="747">
        <v>5</v>
      </c>
      <c r="B12" s="16" t="s">
        <v>1306</v>
      </c>
      <c r="I12" s="821">
        <f>-'9 - EDIT'!P44</f>
        <v>-1332792.5</v>
      </c>
      <c r="J12" s="95" t="s">
        <v>1300</v>
      </c>
    </row>
    <row r="13" spans="1:13">
      <c r="J13" s="748"/>
    </row>
    <row r="14" spans="1:13">
      <c r="A14" s="747">
        <v>6</v>
      </c>
      <c r="B14" s="16" t="s">
        <v>1148</v>
      </c>
      <c r="I14" s="821">
        <f>I5+I10+I12</f>
        <v>19283684.470259503</v>
      </c>
      <c r="J14" s="748" t="s">
        <v>1307</v>
      </c>
    </row>
    <row r="15" spans="1:13">
      <c r="J15" s="748"/>
    </row>
    <row r="16" spans="1:13">
      <c r="A16" s="747">
        <v>7</v>
      </c>
      <c r="B16" s="16" t="s">
        <v>1149</v>
      </c>
      <c r="I16" s="232">
        <f>I14*'Attachment H-7'!I206*(1+'Attachment H-7'!D153)</f>
        <v>1840683.3303320121</v>
      </c>
      <c r="J16" s="95" t="s">
        <v>1308</v>
      </c>
    </row>
    <row r="17" spans="1:17">
      <c r="J17" s="748"/>
    </row>
    <row r="18" spans="1:17">
      <c r="A18" s="747">
        <v>8</v>
      </c>
      <c r="B18" s="16" t="s">
        <v>1323</v>
      </c>
      <c r="I18" s="869">
        <v>0.6</v>
      </c>
    </row>
    <row r="20" spans="1:17">
      <c r="A20" s="747">
        <v>9</v>
      </c>
      <c r="B20" s="16" t="s">
        <v>1150</v>
      </c>
      <c r="I20" s="821">
        <f>I16*I18</f>
        <v>1104409.9981992072</v>
      </c>
      <c r="J20" s="16" t="s">
        <v>1309</v>
      </c>
    </row>
    <row r="27" spans="1:17" ht="16" thickBot="1">
      <c r="A27" s="549" t="s">
        <v>324</v>
      </c>
    </row>
    <row r="28" spans="1:17" ht="18" customHeight="1">
      <c r="A28" s="1168" t="s">
        <v>1144</v>
      </c>
      <c r="B28" s="1168"/>
      <c r="C28" s="1168"/>
      <c r="D28" s="1168"/>
      <c r="E28" s="1168"/>
      <c r="F28" s="1168"/>
      <c r="G28" s="1168"/>
      <c r="H28" s="1168"/>
      <c r="I28" s="1168"/>
      <c r="J28" s="1168"/>
      <c r="K28" s="1168"/>
      <c r="L28" s="1168"/>
      <c r="M28" s="1168"/>
      <c r="N28" s="1168"/>
      <c r="O28" s="1168"/>
      <c r="P28" s="1168"/>
      <c r="Q28" s="1168"/>
    </row>
  </sheetData>
  <mergeCells count="4">
    <mergeCell ref="B1:I1"/>
    <mergeCell ref="B2:I2"/>
    <mergeCell ref="B3:I3"/>
    <mergeCell ref="A28:Q28"/>
  </mergeCells>
  <pageMargins left="0.7" right="0.7" top="0.75" bottom="0.75" header="0.3" footer="0.3"/>
  <pageSetup scale="5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ACCE-D7AF-433A-A7C8-053BE4E18EE6}">
  <sheetPr codeName="Sheet21">
    <pageSetUpPr fitToPage="1"/>
  </sheetPr>
  <dimension ref="A1:Q44"/>
  <sheetViews>
    <sheetView view="pageBreakPreview" topLeftCell="D1" zoomScale="60" zoomScaleNormal="70" workbookViewId="0">
      <selection activeCell="G6" sqref="G6"/>
    </sheetView>
  </sheetViews>
  <sheetFormatPr defaultColWidth="8.84375" defaultRowHeight="15.5"/>
  <cols>
    <col min="1" max="1" width="8.84375" style="747"/>
    <col min="2" max="2" width="62.3046875" style="16" customWidth="1"/>
    <col min="3" max="3" width="20.4609375" style="16" customWidth="1"/>
    <col min="4" max="15" width="19.53515625" style="16" bestFit="1" customWidth="1"/>
    <col min="16" max="16" width="19.84375" style="16" bestFit="1" customWidth="1"/>
    <col min="17" max="18" width="15.53515625" style="16" customWidth="1"/>
    <col min="19" max="16384" width="8.84375" style="16"/>
  </cols>
  <sheetData>
    <row r="1" spans="1:17" s="748" customFormat="1" ht="20.5" customHeight="1">
      <c r="A1" s="747"/>
      <c r="B1" s="747"/>
      <c r="C1" s="1146" t="s">
        <v>1213</v>
      </c>
      <c r="D1" s="1146"/>
      <c r="E1" s="1146"/>
      <c r="F1" s="1146"/>
      <c r="G1" s="1146"/>
      <c r="H1" s="1146"/>
      <c r="I1" s="1146"/>
      <c r="J1" s="1146"/>
      <c r="K1" s="1146"/>
      <c r="L1" s="1146"/>
      <c r="M1" s="1146"/>
      <c r="N1" s="1146"/>
      <c r="O1" s="1146"/>
      <c r="P1" s="1146"/>
      <c r="Q1" s="1146"/>
    </row>
    <row r="2" spans="1:17" s="748" customFormat="1" ht="20.5" customHeight="1">
      <c r="A2" s="747"/>
      <c r="B2" s="747"/>
      <c r="C2" s="1146" t="s">
        <v>1214</v>
      </c>
      <c r="D2" s="1146"/>
      <c r="E2" s="1146"/>
      <c r="F2" s="1146"/>
      <c r="G2" s="1146"/>
      <c r="H2" s="1146"/>
      <c r="I2" s="1146"/>
      <c r="J2" s="1146"/>
      <c r="K2" s="1146"/>
      <c r="L2" s="1146"/>
      <c r="M2" s="1146"/>
      <c r="N2" s="1146"/>
      <c r="O2" s="1146"/>
      <c r="P2" s="1146"/>
      <c r="Q2" s="1146"/>
    </row>
    <row r="3" spans="1:17" s="748" customFormat="1" ht="20.5" customHeight="1">
      <c r="A3" s="747"/>
      <c r="B3" s="747"/>
      <c r="C3" s="1146" t="s">
        <v>681</v>
      </c>
      <c r="D3" s="1146"/>
      <c r="E3" s="1146"/>
      <c r="F3" s="1146"/>
      <c r="G3" s="1146"/>
      <c r="H3" s="1146"/>
      <c r="I3" s="1146"/>
      <c r="J3" s="1146"/>
      <c r="K3" s="1146"/>
      <c r="L3" s="1146"/>
      <c r="M3" s="1146"/>
      <c r="N3" s="1146"/>
      <c r="O3" s="1146"/>
      <c r="P3" s="1146"/>
      <c r="Q3" s="1146"/>
    </row>
    <row r="4" spans="1:17" ht="20.5" customHeight="1">
      <c r="A4" s="870" t="s">
        <v>8</v>
      </c>
    </row>
    <row r="5" spans="1:17" ht="20.5" customHeight="1">
      <c r="B5" s="871" t="s">
        <v>1215</v>
      </c>
    </row>
    <row r="6" spans="1:17" ht="20.5" customHeight="1">
      <c r="A6" s="747">
        <v>1</v>
      </c>
      <c r="B6" s="16" t="s">
        <v>1216</v>
      </c>
      <c r="G6" s="848">
        <v>149886941.82999998</v>
      </c>
    </row>
    <row r="7" spans="1:17" ht="20.5" customHeight="1">
      <c r="A7" s="747">
        <f>A6+1</f>
        <v>2</v>
      </c>
      <c r="B7" s="16" t="s">
        <v>1217</v>
      </c>
      <c r="G7" s="848">
        <v>2593932.19</v>
      </c>
    </row>
    <row r="8" spans="1:17" ht="20.5" customHeight="1">
      <c r="A8" s="747">
        <f t="shared" ref="A8:A13" si="0">A7+1</f>
        <v>3</v>
      </c>
      <c r="B8" s="16" t="s">
        <v>1501</v>
      </c>
      <c r="G8" s="848">
        <v>74346.48</v>
      </c>
    </row>
    <row r="9" spans="1:17" ht="20.5" customHeight="1">
      <c r="A9" s="747">
        <f t="shared" si="0"/>
        <v>4</v>
      </c>
      <c r="B9" s="16" t="s">
        <v>1218</v>
      </c>
      <c r="G9" s="848">
        <v>0</v>
      </c>
    </row>
    <row r="10" spans="1:17" ht="20.5" customHeight="1">
      <c r="A10" s="747">
        <f t="shared" si="0"/>
        <v>5</v>
      </c>
      <c r="B10" s="16" t="s">
        <v>1502</v>
      </c>
      <c r="G10" s="848">
        <v>0</v>
      </c>
    </row>
    <row r="11" spans="1:17" ht="20.5" customHeight="1">
      <c r="A11" s="747">
        <f t="shared" si="0"/>
        <v>6</v>
      </c>
      <c r="B11" s="16" t="s">
        <v>1219</v>
      </c>
      <c r="G11" s="848">
        <v>11920676.240000002</v>
      </c>
    </row>
    <row r="12" spans="1:17" ht="20.5" customHeight="1">
      <c r="A12" s="747">
        <f t="shared" si="0"/>
        <v>7</v>
      </c>
      <c r="B12" s="16" t="s">
        <v>1220</v>
      </c>
      <c r="G12" s="848">
        <v>8146.119999999999</v>
      </c>
    </row>
    <row r="13" spans="1:17" ht="20.5" customHeight="1">
      <c r="A13" s="747">
        <f t="shared" si="0"/>
        <v>8</v>
      </c>
      <c r="B13" s="850" t="s">
        <v>1221</v>
      </c>
      <c r="G13" s="872">
        <f>G6+G7+G8-G9-G10+G11-G12</f>
        <v>164467750.61999997</v>
      </c>
    </row>
    <row r="14" spans="1:17" ht="20.5" customHeight="1"/>
    <row r="15" spans="1:17" ht="20.5" customHeight="1">
      <c r="B15" s="850" t="s">
        <v>1222</v>
      </c>
    </row>
    <row r="16" spans="1:17" ht="20.5" customHeight="1">
      <c r="B16" s="850"/>
    </row>
    <row r="17" spans="1:16" ht="20.5" customHeight="1">
      <c r="B17" s="850" t="s">
        <v>1223</v>
      </c>
      <c r="C17" s="851" t="s">
        <v>195</v>
      </c>
      <c r="D17" s="851" t="s">
        <v>84</v>
      </c>
      <c r="E17" s="851" t="s">
        <v>83</v>
      </c>
      <c r="F17" s="851" t="s">
        <v>171</v>
      </c>
      <c r="G17" s="851" t="s">
        <v>74</v>
      </c>
      <c r="H17" s="851" t="s">
        <v>73</v>
      </c>
      <c r="I17" s="851" t="s">
        <v>93</v>
      </c>
      <c r="J17" s="851" t="s">
        <v>81</v>
      </c>
      <c r="K17" s="851" t="s">
        <v>172</v>
      </c>
      <c r="L17" s="851" t="s">
        <v>79</v>
      </c>
      <c r="M17" s="851" t="s">
        <v>85</v>
      </c>
      <c r="N17" s="851" t="s">
        <v>78</v>
      </c>
      <c r="O17" s="851" t="s">
        <v>196</v>
      </c>
      <c r="P17" s="17" t="s">
        <v>1224</v>
      </c>
    </row>
    <row r="18" spans="1:16">
      <c r="A18" s="747">
        <f>A13+1</f>
        <v>9</v>
      </c>
      <c r="B18" s="16" t="s">
        <v>1225</v>
      </c>
      <c r="C18" s="848">
        <v>3800000000</v>
      </c>
      <c r="D18" s="848">
        <v>3800000000</v>
      </c>
      <c r="E18" s="848">
        <v>3800000000</v>
      </c>
      <c r="F18" s="848">
        <v>4175000000</v>
      </c>
      <c r="G18" s="848">
        <v>4175000000</v>
      </c>
      <c r="H18" s="848">
        <v>4175000000</v>
      </c>
      <c r="I18" s="848">
        <v>4175000000</v>
      </c>
      <c r="J18" s="848">
        <v>4175000000</v>
      </c>
      <c r="K18" s="848">
        <v>4175000000</v>
      </c>
      <c r="L18" s="848">
        <v>4250000000</v>
      </c>
      <c r="M18" s="848">
        <v>4250000000</v>
      </c>
      <c r="N18" s="848">
        <v>4250000000</v>
      </c>
      <c r="O18" s="848">
        <v>4250000000</v>
      </c>
      <c r="P18" s="232">
        <f>AVERAGE(C18:O18)</f>
        <v>4111538461.5384617</v>
      </c>
    </row>
    <row r="19" spans="1:16">
      <c r="A19" s="747">
        <f t="shared" ref="A19:A22" si="1">A18+1</f>
        <v>10</v>
      </c>
      <c r="B19" s="16" t="s">
        <v>1503</v>
      </c>
      <c r="C19" s="848">
        <v>0</v>
      </c>
      <c r="D19" s="848">
        <v>0</v>
      </c>
      <c r="E19" s="848">
        <v>0</v>
      </c>
      <c r="F19" s="848">
        <v>0</v>
      </c>
      <c r="G19" s="848">
        <v>0</v>
      </c>
      <c r="H19" s="848">
        <v>0</v>
      </c>
      <c r="I19" s="848">
        <v>0</v>
      </c>
      <c r="J19" s="848">
        <v>0</v>
      </c>
      <c r="K19" s="848">
        <v>0</v>
      </c>
      <c r="L19" s="848">
        <v>0</v>
      </c>
      <c r="M19" s="848">
        <v>0</v>
      </c>
      <c r="N19" s="848">
        <v>0</v>
      </c>
      <c r="O19" s="848">
        <v>0</v>
      </c>
      <c r="P19" s="232">
        <f t="shared" ref="P19:P21" si="2">AVERAGE(C19:O19)</f>
        <v>0</v>
      </c>
    </row>
    <row r="20" spans="1:16">
      <c r="A20" s="747">
        <f t="shared" si="1"/>
        <v>11</v>
      </c>
      <c r="B20" s="16" t="s">
        <v>1226</v>
      </c>
      <c r="C20" s="848">
        <v>184418609</v>
      </c>
      <c r="D20" s="848">
        <v>184418609</v>
      </c>
      <c r="E20" s="848">
        <v>184418609</v>
      </c>
      <c r="F20" s="848">
        <v>184418609</v>
      </c>
      <c r="G20" s="848">
        <v>184418609</v>
      </c>
      <c r="H20" s="848">
        <v>184418609</v>
      </c>
      <c r="I20" s="848">
        <v>184418609</v>
      </c>
      <c r="J20" s="848">
        <v>184418609</v>
      </c>
      <c r="K20" s="848">
        <v>184418609</v>
      </c>
      <c r="L20" s="848">
        <v>184418608.99999994</v>
      </c>
      <c r="M20" s="848">
        <v>184418609</v>
      </c>
      <c r="N20" s="848">
        <v>184418609</v>
      </c>
      <c r="O20" s="848">
        <v>184418609</v>
      </c>
      <c r="P20" s="232">
        <f t="shared" si="2"/>
        <v>184418609</v>
      </c>
    </row>
    <row r="21" spans="1:16">
      <c r="A21" s="747">
        <f t="shared" si="1"/>
        <v>12</v>
      </c>
      <c r="B21" s="16" t="s">
        <v>1227</v>
      </c>
      <c r="C21" s="972">
        <v>0</v>
      </c>
      <c r="D21" s="972">
        <v>0</v>
      </c>
      <c r="E21" s="972">
        <v>0</v>
      </c>
      <c r="F21" s="972">
        <v>0</v>
      </c>
      <c r="G21" s="972">
        <v>0</v>
      </c>
      <c r="H21" s="972">
        <v>0</v>
      </c>
      <c r="I21" s="972">
        <v>0</v>
      </c>
      <c r="J21" s="972">
        <v>0</v>
      </c>
      <c r="K21" s="972">
        <v>0</v>
      </c>
      <c r="L21" s="972">
        <v>0</v>
      </c>
      <c r="M21" s="972">
        <v>0</v>
      </c>
      <c r="N21" s="972">
        <v>0</v>
      </c>
      <c r="O21" s="972">
        <v>0</v>
      </c>
      <c r="P21" s="274">
        <f t="shared" si="2"/>
        <v>0</v>
      </c>
    </row>
    <row r="22" spans="1:16">
      <c r="A22" s="747">
        <f t="shared" si="1"/>
        <v>13</v>
      </c>
      <c r="B22" s="850" t="s">
        <v>1228</v>
      </c>
      <c r="C22" s="873">
        <f>C18+C20+C21-C19</f>
        <v>3984418609</v>
      </c>
      <c r="D22" s="873">
        <f t="shared" ref="D22:O22" si="3">D18+D20+D21-D19</f>
        <v>3984418609</v>
      </c>
      <c r="E22" s="873">
        <f t="shared" si="3"/>
        <v>3984418609</v>
      </c>
      <c r="F22" s="873">
        <f t="shared" si="3"/>
        <v>4359418609</v>
      </c>
      <c r="G22" s="873">
        <f t="shared" si="3"/>
        <v>4359418609</v>
      </c>
      <c r="H22" s="873">
        <f t="shared" si="3"/>
        <v>4359418609</v>
      </c>
      <c r="I22" s="873">
        <f t="shared" si="3"/>
        <v>4359418609</v>
      </c>
      <c r="J22" s="873">
        <f t="shared" si="3"/>
        <v>4359418609</v>
      </c>
      <c r="K22" s="873">
        <f t="shared" si="3"/>
        <v>4359418609</v>
      </c>
      <c r="L22" s="873">
        <f t="shared" si="3"/>
        <v>4434418609</v>
      </c>
      <c r="M22" s="873">
        <f t="shared" si="3"/>
        <v>4434418609</v>
      </c>
      <c r="N22" s="873">
        <f t="shared" si="3"/>
        <v>4434418609</v>
      </c>
      <c r="O22" s="873">
        <f t="shared" si="3"/>
        <v>4434418609</v>
      </c>
      <c r="P22" s="873">
        <f>AVERAGE(C22:O22)</f>
        <v>4295957070.5384617</v>
      </c>
    </row>
    <row r="27" spans="1:16">
      <c r="B27" s="850" t="s">
        <v>1229</v>
      </c>
    </row>
    <row r="28" spans="1:16">
      <c r="A28" s="747">
        <f>A22+1</f>
        <v>14</v>
      </c>
      <c r="B28" s="16" t="s">
        <v>1230</v>
      </c>
      <c r="C28" s="848">
        <v>1423004250.6500001</v>
      </c>
      <c r="D28" s="848">
        <v>1423004250.6500001</v>
      </c>
      <c r="E28" s="848">
        <v>1423004250.6500001</v>
      </c>
      <c r="F28" s="848">
        <v>1423004250.6500001</v>
      </c>
      <c r="G28" s="848">
        <v>1423004250.6500001</v>
      </c>
      <c r="H28" s="848">
        <v>1423004250.6500001</v>
      </c>
      <c r="I28" s="848">
        <v>1423004250.6500001</v>
      </c>
      <c r="J28" s="848">
        <v>1423004250.6500001</v>
      </c>
      <c r="K28" s="848">
        <v>1423004250.6500001</v>
      </c>
      <c r="L28" s="848">
        <v>1423004250.6500001</v>
      </c>
      <c r="M28" s="848">
        <v>1423004250.6500001</v>
      </c>
      <c r="N28" s="848">
        <v>1423004250.6500001</v>
      </c>
      <c r="O28" s="848">
        <v>1423004250.6500001</v>
      </c>
      <c r="P28" s="266">
        <f t="shared" ref="P28:P42" si="4">AVERAGE(C28:O28)</f>
        <v>1423004250.6499999</v>
      </c>
    </row>
    <row r="29" spans="1:16">
      <c r="A29" s="747">
        <f t="shared" ref="A29:A42" si="5">A28+1</f>
        <v>15</v>
      </c>
      <c r="B29" s="874" t="s">
        <v>1231</v>
      </c>
      <c r="C29" s="848">
        <v>0</v>
      </c>
      <c r="D29" s="848">
        <v>0</v>
      </c>
      <c r="E29" s="848">
        <v>0</v>
      </c>
      <c r="F29" s="848">
        <v>0</v>
      </c>
      <c r="G29" s="848">
        <v>0</v>
      </c>
      <c r="H29" s="848">
        <v>0</v>
      </c>
      <c r="I29" s="848">
        <v>0</v>
      </c>
      <c r="J29" s="848">
        <v>0</v>
      </c>
      <c r="K29" s="848">
        <v>0</v>
      </c>
      <c r="L29" s="848">
        <v>0</v>
      </c>
      <c r="M29" s="848">
        <v>0</v>
      </c>
      <c r="N29" s="848">
        <v>0</v>
      </c>
      <c r="O29" s="848">
        <v>0</v>
      </c>
      <c r="P29" s="266">
        <f t="shared" si="4"/>
        <v>0</v>
      </c>
    </row>
    <row r="30" spans="1:16">
      <c r="A30" s="747">
        <f t="shared" si="5"/>
        <v>16</v>
      </c>
      <c r="B30" s="874" t="s">
        <v>1232</v>
      </c>
      <c r="C30" s="848">
        <v>0</v>
      </c>
      <c r="D30" s="848">
        <v>0</v>
      </c>
      <c r="E30" s="848">
        <v>0</v>
      </c>
      <c r="F30" s="848">
        <v>0</v>
      </c>
      <c r="G30" s="848">
        <v>0</v>
      </c>
      <c r="H30" s="848">
        <v>0</v>
      </c>
      <c r="I30" s="848">
        <v>0</v>
      </c>
      <c r="J30" s="848">
        <v>0</v>
      </c>
      <c r="K30" s="848">
        <v>0</v>
      </c>
      <c r="L30" s="848">
        <v>0</v>
      </c>
      <c r="M30" s="848">
        <v>0</v>
      </c>
      <c r="N30" s="848">
        <v>0</v>
      </c>
      <c r="O30" s="848">
        <v>0</v>
      </c>
      <c r="P30" s="266">
        <f t="shared" si="4"/>
        <v>0</v>
      </c>
    </row>
    <row r="31" spans="1:16">
      <c r="A31" s="747">
        <f t="shared" si="5"/>
        <v>17</v>
      </c>
      <c r="B31" s="874" t="s">
        <v>1233</v>
      </c>
      <c r="C31" s="848">
        <v>0</v>
      </c>
      <c r="D31" s="848">
        <v>0</v>
      </c>
      <c r="E31" s="848">
        <v>0</v>
      </c>
      <c r="F31" s="848">
        <v>0</v>
      </c>
      <c r="G31" s="848">
        <v>0</v>
      </c>
      <c r="H31" s="848">
        <v>0</v>
      </c>
      <c r="I31" s="848">
        <v>0</v>
      </c>
      <c r="J31" s="848">
        <v>0</v>
      </c>
      <c r="K31" s="848">
        <v>0</v>
      </c>
      <c r="L31" s="848">
        <v>0</v>
      </c>
      <c r="M31" s="848">
        <v>0</v>
      </c>
      <c r="N31" s="848">
        <v>0</v>
      </c>
      <c r="O31" s="848">
        <v>0</v>
      </c>
      <c r="P31" s="266">
        <f t="shared" si="4"/>
        <v>0</v>
      </c>
    </row>
    <row r="32" spans="1:16">
      <c r="A32" s="747">
        <f t="shared" si="5"/>
        <v>18</v>
      </c>
      <c r="B32" s="874" t="s">
        <v>1234</v>
      </c>
      <c r="C32" s="848">
        <v>0</v>
      </c>
      <c r="D32" s="848">
        <v>0</v>
      </c>
      <c r="E32" s="848">
        <v>0</v>
      </c>
      <c r="F32" s="848">
        <v>0</v>
      </c>
      <c r="G32" s="848">
        <v>0</v>
      </c>
      <c r="H32" s="848">
        <v>0</v>
      </c>
      <c r="I32" s="848">
        <v>0</v>
      </c>
      <c r="J32" s="848">
        <v>0</v>
      </c>
      <c r="K32" s="848">
        <v>0</v>
      </c>
      <c r="L32" s="848">
        <v>0</v>
      </c>
      <c r="M32" s="848">
        <v>0</v>
      </c>
      <c r="N32" s="848">
        <v>0</v>
      </c>
      <c r="O32" s="848">
        <v>0</v>
      </c>
      <c r="P32" s="266">
        <f t="shared" si="4"/>
        <v>0</v>
      </c>
    </row>
    <row r="33" spans="1:16">
      <c r="A33" s="747">
        <f t="shared" si="5"/>
        <v>19</v>
      </c>
      <c r="B33" s="16" t="s">
        <v>1235</v>
      </c>
      <c r="C33" s="848">
        <v>1591124952.2900002</v>
      </c>
      <c r="D33" s="848">
        <v>1591124952.29</v>
      </c>
      <c r="E33" s="848">
        <v>1591124952.29</v>
      </c>
      <c r="F33" s="848">
        <v>1591124952.29</v>
      </c>
      <c r="G33" s="848">
        <v>1591124952.29</v>
      </c>
      <c r="H33" s="848">
        <v>1986124952.29</v>
      </c>
      <c r="I33" s="848">
        <v>1986124952.29</v>
      </c>
      <c r="J33" s="848">
        <v>1986124952.29</v>
      </c>
      <c r="K33" s="848">
        <v>1986124952.29</v>
      </c>
      <c r="L33" s="848">
        <v>2005297230.8099999</v>
      </c>
      <c r="M33" s="848">
        <v>2005297230.8099999</v>
      </c>
      <c r="N33" s="848">
        <v>2005297230.8099999</v>
      </c>
      <c r="O33" s="848">
        <v>2005297230.8099999</v>
      </c>
      <c r="P33" s="266">
        <f t="shared" si="4"/>
        <v>1840101037.988462</v>
      </c>
    </row>
    <row r="34" spans="1:16">
      <c r="A34" s="747">
        <f t="shared" si="5"/>
        <v>20</v>
      </c>
      <c r="B34" s="16" t="s">
        <v>1236</v>
      </c>
      <c r="C34" s="848">
        <v>0</v>
      </c>
      <c r="D34" s="848">
        <v>0</v>
      </c>
      <c r="E34" s="848">
        <v>0</v>
      </c>
      <c r="F34" s="848">
        <v>0</v>
      </c>
      <c r="G34" s="848">
        <v>0</v>
      </c>
      <c r="H34" s="848">
        <v>0</v>
      </c>
      <c r="I34" s="848">
        <v>0</v>
      </c>
      <c r="J34" s="848">
        <v>0</v>
      </c>
      <c r="K34" s="848">
        <v>0</v>
      </c>
      <c r="L34" s="848">
        <v>0</v>
      </c>
      <c r="M34" s="848">
        <v>0</v>
      </c>
      <c r="N34" s="848">
        <v>0</v>
      </c>
      <c r="O34" s="848">
        <v>0</v>
      </c>
      <c r="P34" s="266">
        <f t="shared" si="4"/>
        <v>0</v>
      </c>
    </row>
    <row r="35" spans="1:16">
      <c r="A35" s="747">
        <f t="shared" si="5"/>
        <v>21</v>
      </c>
      <c r="B35" s="16" t="s">
        <v>1237</v>
      </c>
      <c r="C35" s="848">
        <v>0</v>
      </c>
      <c r="D35" s="848">
        <v>0</v>
      </c>
      <c r="E35" s="848">
        <v>0</v>
      </c>
      <c r="F35" s="848">
        <v>0</v>
      </c>
      <c r="G35" s="848">
        <v>0</v>
      </c>
      <c r="H35" s="848">
        <v>0</v>
      </c>
      <c r="I35" s="848">
        <v>0</v>
      </c>
      <c r="J35" s="848">
        <v>0</v>
      </c>
      <c r="K35" s="848">
        <v>0</v>
      </c>
      <c r="L35" s="848">
        <v>0</v>
      </c>
      <c r="M35" s="848">
        <v>0</v>
      </c>
      <c r="N35" s="848">
        <v>0</v>
      </c>
      <c r="O35" s="848">
        <v>0</v>
      </c>
      <c r="P35" s="266">
        <f t="shared" si="4"/>
        <v>0</v>
      </c>
    </row>
    <row r="36" spans="1:16">
      <c r="A36" s="747">
        <f t="shared" si="5"/>
        <v>22</v>
      </c>
      <c r="B36" s="16" t="s">
        <v>1238</v>
      </c>
      <c r="C36" s="848">
        <v>86741.79</v>
      </c>
      <c r="D36" s="848">
        <v>86741.79</v>
      </c>
      <c r="E36" s="848">
        <v>86741.79</v>
      </c>
      <c r="F36" s="848">
        <v>86741.79</v>
      </c>
      <c r="G36" s="848">
        <v>86741.79</v>
      </c>
      <c r="H36" s="848">
        <v>86741.79</v>
      </c>
      <c r="I36" s="848">
        <v>86741.79</v>
      </c>
      <c r="J36" s="848">
        <v>86741.79</v>
      </c>
      <c r="K36" s="848">
        <v>86741.79</v>
      </c>
      <c r="L36" s="848">
        <v>86741.79</v>
      </c>
      <c r="M36" s="848">
        <v>86741.79</v>
      </c>
      <c r="N36" s="848">
        <v>86741.79</v>
      </c>
      <c r="O36" s="848">
        <v>86741.79</v>
      </c>
      <c r="P36" s="266">
        <f t="shared" si="4"/>
        <v>86741.790000000008</v>
      </c>
    </row>
    <row r="37" spans="1:16">
      <c r="A37" s="747">
        <f t="shared" si="5"/>
        <v>23</v>
      </c>
      <c r="B37" s="16" t="s">
        <v>1239</v>
      </c>
      <c r="C37" s="848">
        <v>4796604470.7900038</v>
      </c>
      <c r="D37" s="848">
        <v>4872504722.7800045</v>
      </c>
      <c r="E37" s="848">
        <v>4937081518.4700041</v>
      </c>
      <c r="F37" s="848">
        <v>4890163529.6100044</v>
      </c>
      <c r="G37" s="848">
        <v>4920052602.1400042</v>
      </c>
      <c r="H37" s="848">
        <v>4953849687.510005</v>
      </c>
      <c r="I37" s="848">
        <v>4920809825.1900053</v>
      </c>
      <c r="J37" s="848">
        <v>4973979866.735405</v>
      </c>
      <c r="K37" s="848">
        <v>5036178055.257205</v>
      </c>
      <c r="L37" s="848">
        <v>4958343200.970005</v>
      </c>
      <c r="M37" s="848">
        <v>4965218314.2990055</v>
      </c>
      <c r="N37" s="848">
        <v>5029070142.2823057</v>
      </c>
      <c r="O37" s="848">
        <v>5006722006.1300058</v>
      </c>
      <c r="P37" s="266">
        <f t="shared" si="4"/>
        <v>4943121380.1664572</v>
      </c>
    </row>
    <row r="38" spans="1:16">
      <c r="A38" s="747">
        <f t="shared" si="5"/>
        <v>24</v>
      </c>
      <c r="B38" s="16" t="s">
        <v>1240</v>
      </c>
      <c r="C38" s="848">
        <v>-3280486128.1999998</v>
      </c>
      <c r="D38" s="848">
        <v>-3287177570.8799996</v>
      </c>
      <c r="E38" s="848">
        <v>-3292849820.6999998</v>
      </c>
      <c r="F38" s="848">
        <v>-3292129529.71</v>
      </c>
      <c r="G38" s="848">
        <v>-3294911797.8000002</v>
      </c>
      <c r="H38" s="848">
        <v>-3297972309.8200002</v>
      </c>
      <c r="I38" s="848">
        <v>-3303797865.6100001</v>
      </c>
      <c r="J38" s="848">
        <v>-3307680162.9154</v>
      </c>
      <c r="K38" s="848">
        <v>-3311561183.2672</v>
      </c>
      <c r="L38" s="848">
        <v>-3315435695.0100002</v>
      </c>
      <c r="M38" s="848">
        <v>-3319329089.5290003</v>
      </c>
      <c r="N38" s="848">
        <v>-3323207948.4323001</v>
      </c>
      <c r="O38" s="848">
        <v>-3327073851.04</v>
      </c>
      <c r="P38" s="266">
        <f>AVERAGE(C38:O38)</f>
        <v>-3304124073.3010688</v>
      </c>
    </row>
    <row r="39" spans="1:16">
      <c r="A39" s="747">
        <f t="shared" si="5"/>
        <v>25</v>
      </c>
      <c r="B39" s="16" t="s">
        <v>1504</v>
      </c>
      <c r="C39" s="848">
        <v>0</v>
      </c>
      <c r="D39" s="848">
        <v>0</v>
      </c>
      <c r="E39" s="848">
        <v>0</v>
      </c>
      <c r="F39" s="848">
        <v>0</v>
      </c>
      <c r="G39" s="848">
        <v>0</v>
      </c>
      <c r="H39" s="848">
        <v>0</v>
      </c>
      <c r="I39" s="848">
        <v>0</v>
      </c>
      <c r="J39" s="848">
        <v>0</v>
      </c>
      <c r="K39" s="848">
        <v>0</v>
      </c>
      <c r="L39" s="848">
        <v>0</v>
      </c>
      <c r="M39" s="848">
        <v>0</v>
      </c>
      <c r="N39" s="848">
        <v>0</v>
      </c>
      <c r="O39" s="848">
        <v>0</v>
      </c>
      <c r="P39" s="266">
        <f t="shared" si="4"/>
        <v>0</v>
      </c>
    </row>
    <row r="40" spans="1:16">
      <c r="A40" s="747">
        <f t="shared" si="5"/>
        <v>26</v>
      </c>
      <c r="B40" s="16" t="s">
        <v>1241</v>
      </c>
      <c r="C40" s="848">
        <v>0</v>
      </c>
      <c r="D40" s="848">
        <v>0</v>
      </c>
      <c r="E40" s="848">
        <v>0</v>
      </c>
      <c r="F40" s="848">
        <v>0</v>
      </c>
      <c r="G40" s="848">
        <v>0</v>
      </c>
      <c r="H40" s="848">
        <v>0</v>
      </c>
      <c r="I40" s="848">
        <v>0</v>
      </c>
      <c r="J40" s="848">
        <v>0</v>
      </c>
      <c r="K40" s="848">
        <v>0</v>
      </c>
      <c r="L40" s="848">
        <v>0</v>
      </c>
      <c r="M40" s="848">
        <v>0</v>
      </c>
      <c r="N40" s="848">
        <v>0</v>
      </c>
      <c r="O40" s="848">
        <v>0</v>
      </c>
      <c r="P40" s="266">
        <f t="shared" si="4"/>
        <v>0</v>
      </c>
    </row>
    <row r="41" spans="1:16">
      <c r="A41" s="747">
        <f t="shared" si="5"/>
        <v>27</v>
      </c>
      <c r="B41" s="16" t="s">
        <v>1242</v>
      </c>
      <c r="C41" s="972">
        <v>2938935.2199999997</v>
      </c>
      <c r="D41" s="972">
        <v>2298081.29</v>
      </c>
      <c r="E41" s="972">
        <v>2298081.29</v>
      </c>
      <c r="F41" s="972">
        <v>3094457.43</v>
      </c>
      <c r="G41" s="972">
        <v>2453602.77</v>
      </c>
      <c r="H41" s="972">
        <v>2453602.77</v>
      </c>
      <c r="I41" s="972">
        <v>3515137.69</v>
      </c>
      <c r="J41" s="972">
        <v>2874283.03</v>
      </c>
      <c r="K41" s="972">
        <v>2874283.03</v>
      </c>
      <c r="L41" s="972">
        <v>3894074.87</v>
      </c>
      <c r="M41" s="972">
        <v>3253220.58</v>
      </c>
      <c r="N41" s="972">
        <v>3253220.58</v>
      </c>
      <c r="O41" s="972">
        <v>3914961.59</v>
      </c>
      <c r="P41" s="274">
        <f t="shared" si="4"/>
        <v>3008918.6261538463</v>
      </c>
    </row>
    <row r="42" spans="1:16" ht="62.5" customHeight="1">
      <c r="A42" s="747">
        <f t="shared" si="5"/>
        <v>28</v>
      </c>
      <c r="B42" s="875" t="s">
        <v>1243</v>
      </c>
      <c r="C42" s="232">
        <f>C28+C29+C30+C31+C32+C33+C34-C35-C36+C37+C38-C39+C40+C41</f>
        <v>4533099738.9600048</v>
      </c>
      <c r="D42" s="241">
        <f t="shared" ref="D42:O42" si="6">D28+D29+D30+D31+D32+D33+D34-D35-D36+D37+D38-D39+D40+D41</f>
        <v>4601667694.3400049</v>
      </c>
      <c r="E42" s="241">
        <f t="shared" si="6"/>
        <v>4660572240.2100048</v>
      </c>
      <c r="F42" s="241">
        <f t="shared" si="6"/>
        <v>4615170918.4800043</v>
      </c>
      <c r="G42" s="241">
        <f t="shared" si="6"/>
        <v>4641636868.260005</v>
      </c>
      <c r="H42" s="241">
        <f t="shared" si="6"/>
        <v>5067373441.6100063</v>
      </c>
      <c r="I42" s="241">
        <f t="shared" si="6"/>
        <v>5029569558.4200048</v>
      </c>
      <c r="J42" s="241">
        <f t="shared" si="6"/>
        <v>5078216448.0000048</v>
      </c>
      <c r="K42" s="241">
        <f t="shared" si="6"/>
        <v>5136533616.1700048</v>
      </c>
      <c r="L42" s="241">
        <f t="shared" si="6"/>
        <v>5075016320.5000048</v>
      </c>
      <c r="M42" s="241">
        <f t="shared" si="6"/>
        <v>5077357185.0200052</v>
      </c>
      <c r="N42" s="241">
        <f t="shared" si="6"/>
        <v>5137330154.1000061</v>
      </c>
      <c r="O42" s="241">
        <f t="shared" si="6"/>
        <v>5111777856.3500061</v>
      </c>
      <c r="P42" s="232">
        <f t="shared" si="4"/>
        <v>4905024772.3400059</v>
      </c>
    </row>
    <row r="43" spans="1:16">
      <c r="A43" s="747">
        <v>29</v>
      </c>
      <c r="B43" s="850" t="s">
        <v>1244</v>
      </c>
      <c r="C43" s="873">
        <f>+C29</f>
        <v>0</v>
      </c>
      <c r="D43" s="873">
        <f t="shared" ref="D43:P43" si="7">+D29</f>
        <v>0</v>
      </c>
      <c r="E43" s="873">
        <f t="shared" si="7"/>
        <v>0</v>
      </c>
      <c r="F43" s="873">
        <f t="shared" si="7"/>
        <v>0</v>
      </c>
      <c r="G43" s="873">
        <f t="shared" si="7"/>
        <v>0</v>
      </c>
      <c r="H43" s="873">
        <f t="shared" si="7"/>
        <v>0</v>
      </c>
      <c r="I43" s="873">
        <f t="shared" si="7"/>
        <v>0</v>
      </c>
      <c r="J43" s="873">
        <f t="shared" si="7"/>
        <v>0</v>
      </c>
      <c r="K43" s="873">
        <f t="shared" si="7"/>
        <v>0</v>
      </c>
      <c r="L43" s="873">
        <f t="shared" si="7"/>
        <v>0</v>
      </c>
      <c r="M43" s="873">
        <f t="shared" si="7"/>
        <v>0</v>
      </c>
      <c r="N43" s="873">
        <f t="shared" si="7"/>
        <v>0</v>
      </c>
      <c r="O43" s="873">
        <f t="shared" si="7"/>
        <v>0</v>
      </c>
      <c r="P43" s="873">
        <f t="shared" si="7"/>
        <v>0</v>
      </c>
    </row>
    <row r="44" spans="1:16">
      <c r="A44" s="747">
        <v>30</v>
      </c>
      <c r="B44" s="850" t="s">
        <v>1245</v>
      </c>
      <c r="C44" s="873">
        <f>+C42-C43</f>
        <v>4533099738.9600048</v>
      </c>
      <c r="D44" s="873">
        <f t="shared" ref="D44:P44" si="8">+D42-D43</f>
        <v>4601667694.3400049</v>
      </c>
      <c r="E44" s="873">
        <f t="shared" si="8"/>
        <v>4660572240.2100048</v>
      </c>
      <c r="F44" s="873">
        <f t="shared" si="8"/>
        <v>4615170918.4800043</v>
      </c>
      <c r="G44" s="873">
        <f t="shared" si="8"/>
        <v>4641636868.260005</v>
      </c>
      <c r="H44" s="873">
        <f t="shared" si="8"/>
        <v>5067373441.6100063</v>
      </c>
      <c r="I44" s="873">
        <f t="shared" si="8"/>
        <v>5029569558.4200048</v>
      </c>
      <c r="J44" s="873">
        <f t="shared" si="8"/>
        <v>5078216448.0000048</v>
      </c>
      <c r="K44" s="873">
        <f t="shared" si="8"/>
        <v>5136533616.1700048</v>
      </c>
      <c r="L44" s="873">
        <f t="shared" si="8"/>
        <v>5075016320.5000048</v>
      </c>
      <c r="M44" s="873">
        <f t="shared" si="8"/>
        <v>5077357185.0200052</v>
      </c>
      <c r="N44" s="873">
        <f t="shared" si="8"/>
        <v>5137330154.1000061</v>
      </c>
      <c r="O44" s="873">
        <f t="shared" si="8"/>
        <v>5111777856.3500061</v>
      </c>
      <c r="P44" s="873">
        <f t="shared" si="8"/>
        <v>4905024772.3400059</v>
      </c>
    </row>
  </sheetData>
  <mergeCells count="3">
    <mergeCell ref="C1:Q1"/>
    <mergeCell ref="C2:Q2"/>
    <mergeCell ref="C3:Q3"/>
  </mergeCells>
  <pageMargins left="0.7" right="0.7" top="0.75" bottom="0.75" header="0.3" footer="0.3"/>
  <pageSetup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19"/>
  <sheetViews>
    <sheetView view="pageBreakPreview" topLeftCell="A85" zoomScale="70" zoomScaleNormal="65" zoomScaleSheetLayoutView="70" workbookViewId="0">
      <selection activeCell="J66" sqref="J66"/>
    </sheetView>
  </sheetViews>
  <sheetFormatPr defaultColWidth="8.84375" defaultRowHeight="13"/>
  <cols>
    <col min="1" max="1" width="6" style="148" customWidth="1"/>
    <col min="2" max="2" width="1.4609375" style="148" customWidth="1"/>
    <col min="3" max="3" width="42.84375" style="148" customWidth="1"/>
    <col min="4" max="4" width="14.53515625" style="148" customWidth="1"/>
    <col min="5" max="5" width="17.53515625" style="148" customWidth="1"/>
    <col min="6" max="6" width="13.07421875" style="148" customWidth="1"/>
    <col min="7" max="7" width="14.4609375" style="148" customWidth="1"/>
    <col min="8" max="8" width="16.3046875" style="148" customWidth="1"/>
    <col min="9" max="9" width="13.84375" style="148" customWidth="1"/>
    <col min="10" max="10" width="14.4609375" style="148" customWidth="1"/>
    <col min="11" max="11" width="13.53515625" style="148" customWidth="1"/>
    <col min="12" max="13" width="15.84375" style="148" customWidth="1"/>
    <col min="14" max="14" width="14.4609375" style="148" customWidth="1"/>
    <col min="15" max="15" width="13.07421875" style="148" bestFit="1" customWidth="1"/>
    <col min="16" max="16" width="12.84375" style="148" customWidth="1"/>
    <col min="17" max="17" width="13.84375" style="148" customWidth="1"/>
    <col min="18" max="18" width="10.07421875" style="148" customWidth="1"/>
    <col min="19" max="19" width="10.3046875" style="148" bestFit="1" customWidth="1"/>
    <col min="20" max="20" width="13" style="148" customWidth="1"/>
    <col min="21" max="21" width="11.3046875" style="53" bestFit="1" customWidth="1"/>
    <col min="22" max="16384" width="8.84375" style="148"/>
  </cols>
  <sheetData>
    <row r="1" spans="1:22">
      <c r="Q1" s="149"/>
    </row>
    <row r="2" spans="1:22">
      <c r="Q2" s="149"/>
    </row>
    <row r="4" spans="1:22">
      <c r="Q4" s="149"/>
    </row>
    <row r="5" spans="1:22">
      <c r="D5" s="150"/>
      <c r="E5" s="150"/>
      <c r="F5" s="150"/>
      <c r="G5" s="151" t="s">
        <v>189</v>
      </c>
      <c r="H5" s="150"/>
      <c r="I5" s="150"/>
      <c r="J5" s="150"/>
      <c r="K5" s="152"/>
      <c r="L5" s="18"/>
      <c r="M5" s="153"/>
      <c r="N5" s="153"/>
      <c r="O5" s="153"/>
      <c r="P5" s="153"/>
      <c r="Q5" s="153"/>
      <c r="R5" s="152"/>
      <c r="S5" s="152"/>
      <c r="T5" s="152" t="s">
        <v>422</v>
      </c>
      <c r="U5" s="154"/>
      <c r="V5" s="152"/>
    </row>
    <row r="6" spans="1:22">
      <c r="D6" s="150"/>
      <c r="E6" s="155" t="s">
        <v>2</v>
      </c>
      <c r="F6" s="155"/>
      <c r="G6" s="151" t="s">
        <v>188</v>
      </c>
      <c r="H6" s="155"/>
      <c r="I6" s="155"/>
      <c r="J6" s="155"/>
      <c r="K6" s="152"/>
      <c r="P6" s="152"/>
      <c r="Q6" s="152"/>
      <c r="R6" s="152"/>
      <c r="S6" s="152"/>
      <c r="T6" s="156"/>
      <c r="U6" s="154"/>
      <c r="V6" s="152"/>
    </row>
    <row r="7" spans="1:22">
      <c r="C7" s="152"/>
      <c r="D7" s="152"/>
      <c r="E7" s="152"/>
      <c r="F7" s="152"/>
      <c r="G7" s="24" t="str">
        <f>+'Attachment H-7'!D5</f>
        <v>PECO Energy Company</v>
      </c>
      <c r="H7" s="152"/>
      <c r="I7" s="152"/>
      <c r="J7" s="152"/>
      <c r="K7" s="152"/>
      <c r="P7" s="152"/>
      <c r="Q7" s="152"/>
      <c r="R7" s="152"/>
      <c r="S7" s="152"/>
      <c r="T7" s="157"/>
      <c r="U7" s="154"/>
      <c r="V7" s="152"/>
    </row>
    <row r="8" spans="1:22">
      <c r="A8" s="151"/>
      <c r="C8" s="152"/>
      <c r="D8" s="152"/>
      <c r="E8" s="152"/>
      <c r="F8" s="152"/>
      <c r="H8" s="152"/>
      <c r="I8" s="152"/>
      <c r="J8" s="152"/>
      <c r="K8" s="152"/>
      <c r="L8" s="152"/>
      <c r="M8" s="152"/>
      <c r="N8" s="152"/>
      <c r="O8" s="152"/>
      <c r="P8" s="152"/>
      <c r="Q8" s="152"/>
      <c r="R8" s="152"/>
      <c r="S8" s="152"/>
      <c r="T8" s="157"/>
      <c r="U8" s="154"/>
      <c r="V8" s="152"/>
    </row>
    <row r="9" spans="1:22">
      <c r="A9" s="151"/>
      <c r="C9" s="152"/>
      <c r="D9" s="152"/>
      <c r="E9" s="152"/>
      <c r="F9" s="152"/>
      <c r="G9" s="158"/>
      <c r="H9" s="152"/>
      <c r="I9" s="152"/>
      <c r="J9" s="152"/>
      <c r="K9" s="152"/>
      <c r="L9" s="152"/>
      <c r="M9" s="152"/>
      <c r="N9" s="152"/>
      <c r="O9" s="152"/>
      <c r="P9" s="152"/>
      <c r="Q9" s="152"/>
      <c r="R9" s="152"/>
      <c r="S9" s="152"/>
      <c r="T9" s="157"/>
      <c r="U9" s="154"/>
      <c r="V9" s="152"/>
    </row>
    <row r="10" spans="1:22">
      <c r="A10" s="151"/>
      <c r="C10" s="152" t="s">
        <v>913</v>
      </c>
      <c r="D10" s="152"/>
      <c r="E10" s="152"/>
      <c r="F10" s="152"/>
      <c r="G10" s="158"/>
      <c r="H10" s="152"/>
      <c r="I10" s="152"/>
      <c r="J10" s="152"/>
      <c r="K10" s="152"/>
      <c r="L10" s="152"/>
      <c r="M10" s="152"/>
      <c r="N10" s="152"/>
      <c r="O10" s="152"/>
      <c r="P10" s="152"/>
      <c r="Q10" s="152"/>
      <c r="R10" s="152"/>
      <c r="S10" s="152"/>
      <c r="T10" s="157"/>
      <c r="U10" s="154"/>
      <c r="V10" s="152"/>
    </row>
    <row r="11" spans="1:22">
      <c r="A11" s="151"/>
      <c r="C11" s="152"/>
      <c r="D11" s="152"/>
      <c r="E11" s="152"/>
      <c r="F11" s="152"/>
      <c r="G11" s="158"/>
      <c r="L11" s="152"/>
      <c r="M11" s="152"/>
      <c r="N11" s="152"/>
      <c r="O11" s="152"/>
      <c r="P11" s="152"/>
      <c r="Q11" s="152"/>
      <c r="R11" s="152"/>
      <c r="S11" s="152"/>
      <c r="T11" s="152"/>
      <c r="U11" s="56"/>
      <c r="V11" s="152"/>
    </row>
    <row r="12" spans="1:22">
      <c r="A12" s="151"/>
      <c r="C12" s="152"/>
      <c r="D12" s="152"/>
      <c r="E12" s="152"/>
      <c r="F12" s="152"/>
      <c r="G12" s="152"/>
      <c r="L12" s="159"/>
      <c r="M12" s="159"/>
      <c r="N12" s="159"/>
      <c r="O12" s="159"/>
      <c r="P12" s="152"/>
      <c r="Q12" s="152"/>
      <c r="R12" s="152"/>
      <c r="S12" s="152"/>
      <c r="T12" s="152"/>
      <c r="U12" s="56"/>
      <c r="V12" s="152"/>
    </row>
    <row r="13" spans="1:22">
      <c r="C13" s="151" t="s">
        <v>3</v>
      </c>
      <c r="D13" s="151"/>
      <c r="E13" s="151" t="s">
        <v>4</v>
      </c>
      <c r="F13" s="151"/>
      <c r="I13" s="151" t="s">
        <v>5</v>
      </c>
      <c r="L13" s="160" t="s">
        <v>6</v>
      </c>
      <c r="M13" s="160"/>
      <c r="N13" s="160"/>
      <c r="O13" s="160"/>
      <c r="P13" s="155"/>
      <c r="Q13" s="160"/>
      <c r="R13" s="155"/>
      <c r="S13" s="155"/>
      <c r="T13" s="160"/>
      <c r="V13" s="150"/>
    </row>
    <row r="14" spans="1:22">
      <c r="C14" s="150"/>
      <c r="D14" s="150"/>
      <c r="E14" s="161" t="s">
        <v>912</v>
      </c>
      <c r="F14" s="161"/>
      <c r="I14" s="155"/>
      <c r="P14" s="155"/>
      <c r="R14" s="155"/>
      <c r="S14" s="155"/>
      <c r="T14" s="151"/>
      <c r="U14" s="162"/>
      <c r="V14" s="150"/>
    </row>
    <row r="15" spans="1:22">
      <c r="A15" s="151" t="s">
        <v>8</v>
      </c>
      <c r="C15" s="150"/>
      <c r="D15" s="150"/>
      <c r="E15" s="163" t="s">
        <v>18</v>
      </c>
      <c r="F15" s="163"/>
      <c r="I15" s="164" t="s">
        <v>17</v>
      </c>
      <c r="L15" s="164" t="s">
        <v>14</v>
      </c>
      <c r="M15" s="164"/>
      <c r="N15" s="164"/>
      <c r="O15" s="164"/>
      <c r="P15" s="155"/>
      <c r="R15" s="152"/>
      <c r="S15" s="152"/>
      <c r="T15" s="164"/>
      <c r="U15" s="162"/>
      <c r="V15" s="150"/>
    </row>
    <row r="16" spans="1:22">
      <c r="A16" s="151" t="s">
        <v>10</v>
      </c>
      <c r="C16" s="165"/>
      <c r="D16" s="165"/>
      <c r="E16" s="155"/>
      <c r="F16" s="155"/>
      <c r="I16" s="155"/>
      <c r="L16" s="155"/>
      <c r="M16" s="155"/>
      <c r="N16" s="155"/>
      <c r="O16" s="155"/>
      <c r="P16" s="155"/>
      <c r="Q16" s="155"/>
      <c r="R16" s="152"/>
      <c r="S16" s="152"/>
      <c r="T16" s="155"/>
      <c r="V16" s="150"/>
    </row>
    <row r="17" spans="1:22">
      <c r="A17" s="166"/>
      <c r="C17" s="150"/>
      <c r="D17" s="150"/>
      <c r="E17" s="155"/>
      <c r="F17" s="155"/>
      <c r="I17" s="155"/>
      <c r="L17" s="155"/>
      <c r="M17" s="155"/>
      <c r="N17" s="155"/>
      <c r="O17" s="155"/>
      <c r="P17" s="155"/>
      <c r="Q17" s="155"/>
      <c r="R17" s="152"/>
      <c r="S17" s="152"/>
      <c r="T17" s="155"/>
      <c r="V17" s="150"/>
    </row>
    <row r="18" spans="1:22">
      <c r="A18" s="167">
        <v>1</v>
      </c>
      <c r="C18" s="150" t="s">
        <v>126</v>
      </c>
      <c r="D18" s="150"/>
      <c r="E18" s="168" t="s">
        <v>1040</v>
      </c>
      <c r="F18" s="167"/>
      <c r="I18" s="53">
        <f>+'Attachment H-7'!I47</f>
        <v>1866599451.1883557</v>
      </c>
      <c r="P18" s="155"/>
      <c r="Q18" s="155"/>
      <c r="R18" s="152"/>
      <c r="S18" s="152"/>
      <c r="T18" s="155"/>
      <c r="V18" s="150"/>
    </row>
    <row r="19" spans="1:22">
      <c r="A19" s="167">
        <v>2</v>
      </c>
      <c r="C19" s="150" t="s">
        <v>127</v>
      </c>
      <c r="D19" s="150"/>
      <c r="E19" s="168" t="s">
        <v>1041</v>
      </c>
      <c r="F19" s="167"/>
      <c r="I19" s="53">
        <f>+'Attachment H-7'!I67+'Attachment H-7'!I85+'Attachment H-7'!I88</f>
        <v>1303069687.1316867</v>
      </c>
      <c r="P19" s="155"/>
      <c r="Q19" s="155"/>
      <c r="R19" s="152"/>
      <c r="S19" s="152"/>
      <c r="T19" s="155"/>
      <c r="V19" s="150"/>
    </row>
    <row r="20" spans="1:22">
      <c r="A20" s="167"/>
      <c r="E20" s="168"/>
      <c r="F20" s="167"/>
      <c r="P20" s="155"/>
      <c r="Q20" s="155"/>
      <c r="R20" s="152"/>
      <c r="S20" s="152"/>
      <c r="T20" s="155"/>
      <c r="V20" s="150"/>
    </row>
    <row r="21" spans="1:22">
      <c r="A21" s="167"/>
      <c r="C21" s="150" t="s">
        <v>128</v>
      </c>
      <c r="D21" s="150"/>
      <c r="E21" s="168"/>
      <c r="F21" s="167"/>
      <c r="I21" s="155"/>
      <c r="L21" s="155"/>
      <c r="M21" s="155"/>
      <c r="N21" s="155"/>
      <c r="O21" s="155"/>
      <c r="P21" s="155"/>
      <c r="Q21" s="155"/>
      <c r="R21" s="155"/>
      <c r="S21" s="155"/>
      <c r="T21" s="155"/>
      <c r="V21" s="150"/>
    </row>
    <row r="22" spans="1:22">
      <c r="A22" s="167">
        <v>3</v>
      </c>
      <c r="C22" s="150" t="s">
        <v>129</v>
      </c>
      <c r="D22" s="150"/>
      <c r="E22" s="168" t="s">
        <v>1042</v>
      </c>
      <c r="F22" s="167"/>
      <c r="I22" s="53">
        <f>+'Attachment H-7'!I125</f>
        <v>75723724.996724978</v>
      </c>
      <c r="P22" s="155"/>
      <c r="Q22" s="155"/>
      <c r="R22" s="155"/>
      <c r="S22" s="155"/>
      <c r="T22" s="155"/>
      <c r="V22" s="150"/>
    </row>
    <row r="23" spans="1:22">
      <c r="A23" s="167">
        <v>4</v>
      </c>
      <c r="C23" s="150" t="s">
        <v>130</v>
      </c>
      <c r="D23" s="150"/>
      <c r="E23" s="168" t="s">
        <v>131</v>
      </c>
      <c r="F23" s="167"/>
      <c r="I23" s="169">
        <f>IF(I18=0,0,I22/I18)</f>
        <v>4.056774202334415E-2</v>
      </c>
      <c r="L23" s="170">
        <f>I23</f>
        <v>4.056774202334415E-2</v>
      </c>
      <c r="M23" s="171"/>
      <c r="N23" s="171"/>
      <c r="O23" s="171"/>
      <c r="P23" s="155"/>
      <c r="Q23" s="172"/>
      <c r="R23" s="173"/>
      <c r="S23" s="173"/>
      <c r="T23" s="174"/>
      <c r="V23" s="150"/>
    </row>
    <row r="24" spans="1:22">
      <c r="A24" s="167"/>
      <c r="C24" s="150"/>
      <c r="D24" s="150"/>
      <c r="E24" s="168"/>
      <c r="F24" s="167"/>
      <c r="I24" s="175"/>
      <c r="L24" s="170"/>
      <c r="M24" s="171"/>
      <c r="N24" s="171"/>
      <c r="O24" s="171"/>
      <c r="P24" s="155"/>
      <c r="Q24" s="172"/>
      <c r="R24" s="173"/>
      <c r="S24" s="173"/>
      <c r="T24" s="174"/>
      <c r="V24" s="150"/>
    </row>
    <row r="25" spans="1:22">
      <c r="A25" s="160"/>
      <c r="C25" s="150" t="s">
        <v>370</v>
      </c>
      <c r="D25" s="150"/>
      <c r="E25" s="176"/>
      <c r="F25" s="177"/>
      <c r="I25" s="155"/>
      <c r="L25" s="169"/>
      <c r="M25" s="155"/>
      <c r="N25" s="155"/>
      <c r="O25" s="155"/>
      <c r="P25" s="155"/>
      <c r="Q25" s="172"/>
      <c r="R25" s="173"/>
      <c r="S25" s="173"/>
      <c r="T25" s="174"/>
      <c r="V25" s="150"/>
    </row>
    <row r="26" spans="1:22">
      <c r="A26" s="160" t="s">
        <v>132</v>
      </c>
      <c r="C26" s="150" t="s">
        <v>372</v>
      </c>
      <c r="D26" s="150"/>
      <c r="E26" s="168" t="s">
        <v>1046</v>
      </c>
      <c r="F26" s="167"/>
      <c r="I26" s="53">
        <f>+'Attachment H-7'!I129+'Attachment H-7'!I133+'Attachment H-7'!I130+'Attachment H-7'!I134+'Attachment H-7'!I131</f>
        <v>11477099.743838964</v>
      </c>
      <c r="L26" s="169"/>
      <c r="P26" s="155"/>
      <c r="Q26" s="172"/>
      <c r="R26" s="173"/>
      <c r="S26" s="173"/>
      <c r="T26" s="174"/>
      <c r="V26" s="150"/>
    </row>
    <row r="27" spans="1:22">
      <c r="A27" s="160" t="s">
        <v>133</v>
      </c>
      <c r="C27" s="150" t="s">
        <v>371</v>
      </c>
      <c r="D27" s="150"/>
      <c r="E27" s="168" t="s">
        <v>134</v>
      </c>
      <c r="F27" s="167"/>
      <c r="I27" s="59">
        <f>IF(I26=0,0,I26/I18)</f>
        <v>6.1486676943637584E-3</v>
      </c>
      <c r="J27" s="59"/>
      <c r="K27" s="59"/>
      <c r="L27" s="170">
        <f>I27</f>
        <v>6.1486676943637584E-3</v>
      </c>
      <c r="M27" s="171"/>
      <c r="N27" s="171"/>
      <c r="O27" s="171"/>
      <c r="P27" s="155"/>
      <c r="Q27" s="172"/>
      <c r="R27" s="173"/>
      <c r="S27" s="173"/>
      <c r="T27" s="174"/>
      <c r="V27" s="150"/>
    </row>
    <row r="28" spans="1:22">
      <c r="A28" s="167"/>
      <c r="C28" s="150"/>
      <c r="D28" s="150"/>
      <c r="E28" s="168"/>
      <c r="F28" s="167"/>
      <c r="I28" s="59"/>
      <c r="J28" s="59"/>
      <c r="K28" s="59"/>
      <c r="L28" s="170"/>
      <c r="M28" s="171"/>
      <c r="N28" s="171"/>
      <c r="O28" s="171"/>
      <c r="P28" s="155"/>
      <c r="Q28" s="172"/>
      <c r="R28" s="173"/>
      <c r="S28" s="173"/>
      <c r="T28" s="174"/>
      <c r="V28" s="150"/>
    </row>
    <row r="29" spans="1:22">
      <c r="A29" s="160"/>
      <c r="C29" s="150" t="s">
        <v>135</v>
      </c>
      <c r="D29" s="150"/>
      <c r="E29" s="176"/>
      <c r="F29" s="177"/>
      <c r="I29" s="59"/>
      <c r="J29" s="59"/>
      <c r="K29" s="59"/>
      <c r="L29" s="169"/>
      <c r="M29" s="155"/>
      <c r="N29" s="155"/>
      <c r="O29" s="155"/>
      <c r="P29" s="155"/>
      <c r="Q29" s="155"/>
      <c r="R29" s="155"/>
      <c r="S29" s="155"/>
      <c r="T29" s="155"/>
      <c r="V29" s="150"/>
    </row>
    <row r="30" spans="1:22">
      <c r="A30" s="160" t="s">
        <v>136</v>
      </c>
      <c r="C30" s="150" t="s">
        <v>137</v>
      </c>
      <c r="D30" s="150"/>
      <c r="E30" s="168" t="s">
        <v>1043</v>
      </c>
      <c r="F30" s="167"/>
      <c r="I30" s="53">
        <f>+'Attachment H-7'!I147</f>
        <v>5023484.5322057083</v>
      </c>
      <c r="J30" s="59"/>
      <c r="K30" s="59"/>
      <c r="L30" s="169"/>
      <c r="P30" s="155"/>
      <c r="Q30" s="164"/>
      <c r="R30" s="155"/>
      <c r="S30" s="155"/>
      <c r="T30" s="167"/>
      <c r="U30" s="162"/>
      <c r="V30" s="150"/>
    </row>
    <row r="31" spans="1:22">
      <c r="A31" s="160" t="s">
        <v>138</v>
      </c>
      <c r="C31" s="150" t="s">
        <v>139</v>
      </c>
      <c r="D31" s="150"/>
      <c r="E31" s="168" t="s">
        <v>140</v>
      </c>
      <c r="F31" s="167"/>
      <c r="I31" s="59">
        <f>IF(I30=0,0,I30/I18)</f>
        <v>2.691249335259124E-3</v>
      </c>
      <c r="J31" s="59"/>
      <c r="K31" s="59"/>
      <c r="L31" s="170">
        <f>I31</f>
        <v>2.691249335259124E-3</v>
      </c>
      <c r="M31" s="171"/>
      <c r="N31" s="171"/>
      <c r="O31" s="171"/>
      <c r="P31" s="155"/>
      <c r="Q31" s="172"/>
      <c r="R31" s="155"/>
      <c r="S31" s="155"/>
      <c r="T31" s="174"/>
      <c r="U31" s="162"/>
      <c r="V31" s="150"/>
    </row>
    <row r="32" spans="1:22">
      <c r="A32" s="160"/>
      <c r="C32" s="150"/>
      <c r="D32" s="150"/>
      <c r="E32" s="168"/>
      <c r="F32" s="167"/>
      <c r="I32" s="155"/>
      <c r="L32" s="169"/>
      <c r="M32" s="155"/>
      <c r="N32" s="155"/>
      <c r="O32" s="155"/>
      <c r="P32" s="155"/>
      <c r="V32" s="150"/>
    </row>
    <row r="33" spans="1:22">
      <c r="A33" s="160" t="s">
        <v>141</v>
      </c>
      <c r="C33" s="150" t="s">
        <v>181</v>
      </c>
      <c r="D33" s="150"/>
      <c r="E33" s="168" t="s">
        <v>1044</v>
      </c>
      <c r="F33" s="167"/>
      <c r="I33" s="53">
        <f>'Attachment H-7'!I14</f>
        <v>11884051.74398284</v>
      </c>
      <c r="L33" s="169"/>
      <c r="M33" s="155"/>
      <c r="N33" s="155"/>
      <c r="O33" s="155"/>
      <c r="P33" s="155"/>
      <c r="V33" s="150"/>
    </row>
    <row r="34" spans="1:22">
      <c r="A34" s="160" t="s">
        <v>144</v>
      </c>
      <c r="C34" s="150" t="s">
        <v>356</v>
      </c>
      <c r="D34" s="150"/>
      <c r="E34" s="168" t="s">
        <v>177</v>
      </c>
      <c r="F34" s="167"/>
      <c r="I34" s="178">
        <f>IF(L18=0,0,I33/I18)</f>
        <v>0</v>
      </c>
      <c r="L34" s="169">
        <f>+I34</f>
        <v>0</v>
      </c>
      <c r="M34" s="155"/>
      <c r="N34" s="155"/>
      <c r="O34" s="155"/>
      <c r="P34" s="155"/>
      <c r="V34" s="150"/>
    </row>
    <row r="35" spans="1:22">
      <c r="A35" s="160"/>
      <c r="C35" s="150"/>
      <c r="D35" s="150"/>
      <c r="E35" s="168"/>
      <c r="F35" s="167"/>
      <c r="I35" s="155"/>
      <c r="L35" s="169"/>
      <c r="M35" s="155"/>
      <c r="N35" s="155"/>
      <c r="O35" s="155"/>
      <c r="P35" s="155"/>
      <c r="V35" s="150"/>
    </row>
    <row r="36" spans="1:22">
      <c r="A36" s="179" t="s">
        <v>145</v>
      </c>
      <c r="B36" s="180"/>
      <c r="C36" s="165" t="s">
        <v>142</v>
      </c>
      <c r="D36" s="165"/>
      <c r="E36" s="181" t="s">
        <v>1082</v>
      </c>
      <c r="F36" s="161"/>
      <c r="I36" s="173"/>
      <c r="L36" s="182">
        <f>L23+L27+L31+L34</f>
        <v>4.9407659052967033E-2</v>
      </c>
      <c r="M36" s="183"/>
      <c r="N36" s="183"/>
      <c r="O36" s="183"/>
      <c r="P36" s="155"/>
      <c r="V36" s="150"/>
    </row>
    <row r="37" spans="1:22">
      <c r="A37" s="160"/>
      <c r="C37" s="150"/>
      <c r="D37" s="150"/>
      <c r="E37" s="168"/>
      <c r="F37" s="167"/>
      <c r="I37" s="155"/>
      <c r="L37" s="169"/>
      <c r="M37" s="155"/>
      <c r="N37" s="155"/>
      <c r="O37" s="155"/>
      <c r="P37" s="155"/>
      <c r="Q37" s="155"/>
      <c r="R37" s="155"/>
      <c r="S37" s="155"/>
      <c r="T37" s="184"/>
      <c r="V37" s="150"/>
    </row>
    <row r="38" spans="1:22">
      <c r="A38" s="160"/>
      <c r="B38" s="185"/>
      <c r="C38" s="155" t="s">
        <v>143</v>
      </c>
      <c r="D38" s="155"/>
      <c r="E38" s="168"/>
      <c r="F38" s="167"/>
      <c r="I38" s="155"/>
      <c r="L38" s="169"/>
      <c r="M38" s="155"/>
      <c r="N38" s="155"/>
      <c r="O38" s="155"/>
      <c r="P38" s="186"/>
      <c r="Q38" s="185"/>
      <c r="U38" s="162"/>
      <c r="V38" s="155" t="s">
        <v>2</v>
      </c>
    </row>
    <row r="39" spans="1:22">
      <c r="A39" s="160" t="s">
        <v>147</v>
      </c>
      <c r="B39" s="185"/>
      <c r="C39" s="155" t="s">
        <v>38</v>
      </c>
      <c r="D39" s="155"/>
      <c r="E39" s="168" t="s">
        <v>1045</v>
      </c>
      <c r="F39" s="167"/>
      <c r="I39" s="53">
        <f>+'Attachment H-7'!I164</f>
        <v>21280224.699443623</v>
      </c>
      <c r="L39" s="169"/>
      <c r="M39" s="155"/>
      <c r="N39" s="155"/>
      <c r="O39" s="155"/>
      <c r="P39" s="186"/>
      <c r="Q39" s="185"/>
      <c r="U39" s="162"/>
      <c r="V39" s="155"/>
    </row>
    <row r="40" spans="1:22">
      <c r="A40" s="160" t="s">
        <v>149</v>
      </c>
      <c r="B40" s="185"/>
      <c r="C40" s="155" t="s">
        <v>146</v>
      </c>
      <c r="D40" s="155"/>
      <c r="E40" s="168" t="s">
        <v>151</v>
      </c>
      <c r="F40" s="167"/>
      <c r="I40" s="59">
        <f>IF(I19=0,0,I39/I19)</f>
        <v>1.633084163463705E-2</v>
      </c>
      <c r="L40" s="170">
        <f>I40</f>
        <v>1.633084163463705E-2</v>
      </c>
      <c r="M40" s="171"/>
      <c r="N40" s="171"/>
      <c r="O40" s="171"/>
      <c r="P40" s="186"/>
      <c r="Q40" s="185"/>
      <c r="R40" s="155"/>
      <c r="S40" s="155"/>
      <c r="T40" s="155"/>
      <c r="U40" s="162"/>
      <c r="V40" s="155"/>
    </row>
    <row r="41" spans="1:22">
      <c r="A41" s="160"/>
      <c r="C41" s="155"/>
      <c r="D41" s="155"/>
      <c r="E41" s="168"/>
      <c r="F41" s="167"/>
      <c r="I41" s="155"/>
      <c r="L41" s="169"/>
      <c r="M41" s="155"/>
      <c r="N41" s="155"/>
      <c r="O41" s="155"/>
      <c r="P41" s="155"/>
      <c r="R41" s="152"/>
      <c r="S41" s="152"/>
      <c r="T41" s="155"/>
      <c r="U41" s="56"/>
      <c r="V41" s="150"/>
    </row>
    <row r="42" spans="1:22">
      <c r="A42" s="160"/>
      <c r="C42" s="150" t="s">
        <v>39</v>
      </c>
      <c r="D42" s="150"/>
      <c r="E42" s="187"/>
      <c r="F42" s="188"/>
      <c r="L42" s="169"/>
      <c r="P42" s="155"/>
      <c r="R42" s="155"/>
      <c r="S42" s="155"/>
      <c r="T42" s="155"/>
      <c r="V42" s="150"/>
    </row>
    <row r="43" spans="1:22">
      <c r="A43" s="160" t="s">
        <v>152</v>
      </c>
      <c r="C43" s="150" t="s">
        <v>148</v>
      </c>
      <c r="D43" s="150"/>
      <c r="E43" s="168" t="s">
        <v>1195</v>
      </c>
      <c r="F43" s="167"/>
      <c r="I43" s="53">
        <f>+'Attachment H-7'!I167+'Attachment H-7'!I169</f>
        <v>82456648.245725766</v>
      </c>
      <c r="L43" s="169"/>
      <c r="M43" s="155"/>
      <c r="N43" s="155"/>
      <c r="O43" s="155"/>
      <c r="P43" s="155"/>
      <c r="R43" s="155"/>
      <c r="S43" s="155"/>
      <c r="T43" s="155"/>
      <c r="V43" s="150"/>
    </row>
    <row r="44" spans="1:22">
      <c r="A44" s="160" t="s">
        <v>175</v>
      </c>
      <c r="B44" s="185"/>
      <c r="C44" s="155" t="s">
        <v>150</v>
      </c>
      <c r="D44" s="155"/>
      <c r="E44" s="168" t="s">
        <v>373</v>
      </c>
      <c r="F44" s="167"/>
      <c r="I44" s="59">
        <f>IF(I19=0,0,I43/I19)</f>
        <v>6.327877093605723E-2</v>
      </c>
      <c r="L44" s="170">
        <f>I44</f>
        <v>6.327877093605723E-2</v>
      </c>
      <c r="M44" s="171"/>
      <c r="N44" s="171"/>
      <c r="O44" s="171"/>
      <c r="P44" s="155"/>
      <c r="T44" s="189"/>
      <c r="U44" s="162"/>
      <c r="V44" s="155"/>
    </row>
    <row r="45" spans="1:22">
      <c r="A45" s="160"/>
      <c r="C45" s="150"/>
      <c r="D45" s="150"/>
      <c r="E45" s="168"/>
      <c r="F45" s="167"/>
      <c r="I45" s="155"/>
      <c r="L45" s="169"/>
      <c r="M45" s="155"/>
      <c r="N45" s="155"/>
      <c r="O45" s="155"/>
      <c r="P45" s="155"/>
      <c r="Q45" s="188"/>
      <c r="R45" s="155"/>
      <c r="S45" s="155"/>
      <c r="T45" s="155"/>
      <c r="V45" s="150"/>
    </row>
    <row r="46" spans="1:22">
      <c r="A46" s="179" t="s">
        <v>176</v>
      </c>
      <c r="B46" s="180"/>
      <c r="C46" s="165" t="s">
        <v>153</v>
      </c>
      <c r="D46" s="165"/>
      <c r="E46" s="181" t="s">
        <v>1083</v>
      </c>
      <c r="F46" s="161"/>
      <c r="I46" s="59">
        <f>+I44+I40</f>
        <v>7.960961257069428E-2</v>
      </c>
      <c r="L46" s="182">
        <f>L40+L44</f>
        <v>7.960961257069428E-2</v>
      </c>
      <c r="M46" s="183"/>
      <c r="N46" s="183"/>
      <c r="O46" s="183"/>
      <c r="P46" s="155"/>
      <c r="Q46" s="188"/>
      <c r="R46" s="155"/>
      <c r="S46" s="155"/>
      <c r="T46" s="155"/>
      <c r="V46" s="150"/>
    </row>
    <row r="47" spans="1:22">
      <c r="P47" s="190"/>
      <c r="Q47" s="190"/>
      <c r="R47" s="155"/>
      <c r="S47" s="155"/>
      <c r="T47" s="155"/>
      <c r="V47" s="150"/>
    </row>
    <row r="48" spans="1:22">
      <c r="P48" s="190"/>
      <c r="Q48" s="190"/>
      <c r="R48" s="155"/>
      <c r="S48" s="155"/>
      <c r="T48" s="155"/>
      <c r="V48" s="150"/>
    </row>
    <row r="49" spans="1:22">
      <c r="A49" s="191"/>
      <c r="C49" s="160"/>
      <c r="D49" s="160"/>
      <c r="E49" s="177"/>
      <c r="F49" s="177"/>
      <c r="G49" s="155"/>
      <c r="J49" s="175"/>
      <c r="P49" s="155"/>
      <c r="Q49" s="172"/>
      <c r="R49" s="192"/>
      <c r="S49" s="192"/>
      <c r="T49" s="155"/>
      <c r="U49" s="162"/>
      <c r="V49" s="155"/>
    </row>
    <row r="50" spans="1:22">
      <c r="A50" s="151"/>
      <c r="G50" s="155"/>
      <c r="P50" s="155"/>
      <c r="Q50" s="155"/>
      <c r="R50" s="155"/>
      <c r="S50" s="155"/>
      <c r="T50" s="155"/>
      <c r="U50" s="162"/>
      <c r="V50" s="155" t="s">
        <v>2</v>
      </c>
    </row>
    <row r="51" spans="1:22">
      <c r="Q51" s="149"/>
    </row>
    <row r="52" spans="1:22">
      <c r="Q52" s="149"/>
    </row>
    <row r="54" spans="1:22">
      <c r="A54" s="151"/>
      <c r="G54" s="155"/>
      <c r="P54" s="155"/>
      <c r="Q54" s="149"/>
      <c r="R54" s="155"/>
      <c r="S54" s="155"/>
      <c r="T54" s="152"/>
      <c r="V54" s="150"/>
    </row>
    <row r="55" spans="1:22">
      <c r="A55" s="151"/>
      <c r="C55" s="150"/>
      <c r="D55" s="150"/>
      <c r="G55" s="177" t="str">
        <f>+G5</f>
        <v>Attachment 1</v>
      </c>
      <c r="H55" s="177"/>
      <c r="P55" s="155"/>
      <c r="Q55" s="149"/>
      <c r="R55" s="155"/>
      <c r="S55" s="155"/>
      <c r="T55" s="148" t="s">
        <v>154</v>
      </c>
      <c r="V55" s="150"/>
    </row>
    <row r="56" spans="1:22">
      <c r="A56" s="151"/>
      <c r="C56" s="150"/>
      <c r="D56" s="150"/>
      <c r="G56" s="177" t="str">
        <f>+G6</f>
        <v>Project Revenue Requirement Worksheet</v>
      </c>
      <c r="H56" s="177"/>
      <c r="L56" s="155"/>
      <c r="M56" s="155"/>
      <c r="N56" s="155"/>
      <c r="O56" s="155"/>
      <c r="P56" s="155"/>
      <c r="R56" s="155"/>
      <c r="S56" s="155"/>
      <c r="T56" s="152"/>
      <c r="V56" s="150"/>
    </row>
    <row r="57" spans="1:22" ht="14.25" customHeight="1">
      <c r="A57" s="151"/>
      <c r="G57" s="177" t="str">
        <f>+G7</f>
        <v>PECO Energy Company</v>
      </c>
      <c r="P57" s="155"/>
      <c r="R57" s="155"/>
      <c r="S57" s="155"/>
      <c r="T57" s="152"/>
      <c r="V57" s="150"/>
    </row>
    <row r="58" spans="1:22">
      <c r="A58" s="151"/>
      <c r="H58" s="177"/>
      <c r="P58" s="155"/>
      <c r="Q58" s="155"/>
      <c r="R58" s="155"/>
      <c r="S58" s="155"/>
      <c r="T58" s="152"/>
      <c r="V58" s="150"/>
    </row>
    <row r="59" spans="1:22">
      <c r="A59" s="151"/>
      <c r="E59" s="150"/>
      <c r="F59" s="150"/>
      <c r="G59" s="150"/>
      <c r="H59" s="150"/>
      <c r="I59" s="150"/>
      <c r="J59" s="150"/>
      <c r="K59" s="150"/>
      <c r="L59" s="150"/>
      <c r="M59" s="150"/>
      <c r="N59" s="150"/>
      <c r="O59" s="150"/>
      <c r="P59" s="150"/>
      <c r="Q59" s="150"/>
      <c r="R59" s="155"/>
      <c r="S59" s="155"/>
      <c r="T59" s="152"/>
      <c r="V59" s="150"/>
    </row>
    <row r="60" spans="1:22">
      <c r="A60" s="151"/>
      <c r="E60" s="165"/>
      <c r="F60" s="165"/>
      <c r="H60" s="152"/>
      <c r="I60" s="152"/>
      <c r="J60" s="152"/>
      <c r="K60" s="152"/>
      <c r="L60" s="152"/>
      <c r="M60" s="152"/>
      <c r="N60" s="152"/>
      <c r="O60" s="152"/>
      <c r="P60" s="155"/>
      <c r="Q60" s="155"/>
      <c r="R60" s="155"/>
      <c r="S60" s="155"/>
      <c r="T60" s="152"/>
      <c r="V60" s="150"/>
    </row>
    <row r="61" spans="1:22">
      <c r="A61" s="151"/>
      <c r="E61" s="165"/>
      <c r="F61" s="165"/>
      <c r="H61" s="152"/>
      <c r="I61" s="152"/>
      <c r="J61" s="152"/>
      <c r="K61" s="152"/>
      <c r="L61" s="152"/>
      <c r="M61" s="152"/>
      <c r="N61" s="152"/>
      <c r="O61" s="152"/>
      <c r="P61" s="155"/>
      <c r="Q61" s="155"/>
      <c r="R61" s="155"/>
      <c r="S61" s="155"/>
      <c r="T61" s="152"/>
      <c r="V61" s="150"/>
    </row>
    <row r="62" spans="1:22">
      <c r="A62" s="151"/>
      <c r="C62" s="193">
        <v>-1</v>
      </c>
      <c r="D62" s="193">
        <v>-2</v>
      </c>
      <c r="E62" s="193">
        <v>-3</v>
      </c>
      <c r="F62" s="193">
        <v>-4</v>
      </c>
      <c r="G62" s="193">
        <v>-5</v>
      </c>
      <c r="H62" s="193">
        <v>-6</v>
      </c>
      <c r="I62" s="193">
        <v>-7</v>
      </c>
      <c r="J62" s="193">
        <v>-8</v>
      </c>
      <c r="K62" s="193">
        <v>-9</v>
      </c>
      <c r="L62" s="193">
        <v>-10</v>
      </c>
      <c r="M62" s="193">
        <v>-11</v>
      </c>
      <c r="N62" s="193">
        <v>-12</v>
      </c>
      <c r="O62" s="193" t="s">
        <v>321</v>
      </c>
      <c r="P62" s="193">
        <v>-13</v>
      </c>
      <c r="Q62" s="194" t="s">
        <v>274</v>
      </c>
      <c r="R62" s="194" t="s">
        <v>275</v>
      </c>
      <c r="S62" s="194" t="s">
        <v>1155</v>
      </c>
      <c r="T62" s="194" t="s">
        <v>293</v>
      </c>
      <c r="V62" s="150"/>
    </row>
    <row r="63" spans="1:22" ht="53.25" customHeight="1">
      <c r="A63" s="195" t="s">
        <v>155</v>
      </c>
      <c r="B63" s="196"/>
      <c r="C63" s="197" t="s">
        <v>426</v>
      </c>
      <c r="D63" s="198" t="s">
        <v>446</v>
      </c>
      <c r="E63" s="199" t="s">
        <v>156</v>
      </c>
      <c r="F63" s="199" t="s">
        <v>142</v>
      </c>
      <c r="G63" s="200" t="s">
        <v>157</v>
      </c>
      <c r="H63" s="199" t="s">
        <v>424</v>
      </c>
      <c r="I63" s="199" t="s">
        <v>153</v>
      </c>
      <c r="J63" s="200" t="s">
        <v>158</v>
      </c>
      <c r="K63" s="199" t="s">
        <v>178</v>
      </c>
      <c r="L63" s="201" t="s">
        <v>159</v>
      </c>
      <c r="M63" s="201" t="s">
        <v>180</v>
      </c>
      <c r="N63" s="201" t="s">
        <v>179</v>
      </c>
      <c r="O63" s="201" t="s">
        <v>319</v>
      </c>
      <c r="P63" s="201" t="s">
        <v>428</v>
      </c>
      <c r="Q63" s="201" t="s">
        <v>187</v>
      </c>
      <c r="R63" s="201" t="s">
        <v>160</v>
      </c>
      <c r="S63" s="201" t="s">
        <v>1156</v>
      </c>
      <c r="T63" s="201" t="s">
        <v>376</v>
      </c>
      <c r="V63" s="150"/>
    </row>
    <row r="64" spans="1:22" ht="46.5" customHeight="1">
      <c r="A64" s="202"/>
      <c r="B64" s="203"/>
      <c r="C64" s="203"/>
      <c r="D64" s="203"/>
      <c r="E64" s="204" t="s">
        <v>103</v>
      </c>
      <c r="F64" s="204" t="s">
        <v>284</v>
      </c>
      <c r="G64" s="205" t="s">
        <v>161</v>
      </c>
      <c r="H64" s="204" t="s">
        <v>317</v>
      </c>
      <c r="I64" s="204" t="s">
        <v>285</v>
      </c>
      <c r="J64" s="205" t="s">
        <v>162</v>
      </c>
      <c r="K64" s="204" t="s">
        <v>318</v>
      </c>
      <c r="L64" s="205" t="s">
        <v>163</v>
      </c>
      <c r="M64" s="204" t="s">
        <v>312</v>
      </c>
      <c r="N64" s="206" t="s">
        <v>668</v>
      </c>
      <c r="O64" s="207" t="s">
        <v>320</v>
      </c>
      <c r="P64" s="208" t="s">
        <v>295</v>
      </c>
      <c r="Q64" s="207" t="s">
        <v>294</v>
      </c>
      <c r="R64" s="209" t="s">
        <v>164</v>
      </c>
      <c r="S64" s="1070"/>
      <c r="T64" s="207" t="s">
        <v>1157</v>
      </c>
      <c r="V64" s="150"/>
    </row>
    <row r="65" spans="1:22">
      <c r="A65" s="210"/>
      <c r="B65" s="152"/>
      <c r="C65" s="152"/>
      <c r="D65" s="152"/>
      <c r="E65" s="152"/>
      <c r="F65" s="152"/>
      <c r="G65" s="211"/>
      <c r="H65" s="152"/>
      <c r="I65" s="152"/>
      <c r="J65" s="211"/>
      <c r="K65" s="152"/>
      <c r="L65" s="211"/>
      <c r="M65" s="212"/>
      <c r="N65" s="211"/>
      <c r="O65" s="211"/>
      <c r="P65" s="152"/>
      <c r="Q65" s="213"/>
      <c r="R65" s="214"/>
      <c r="S65" s="155"/>
      <c r="T65" s="214"/>
      <c r="V65" s="150"/>
    </row>
    <row r="66" spans="1:22">
      <c r="A66" s="215" t="s">
        <v>631</v>
      </c>
      <c r="B66" s="216"/>
      <c r="C66" s="216" t="s">
        <v>445</v>
      </c>
      <c r="D66" s="217" t="s">
        <v>447</v>
      </c>
      <c r="E66" s="218">
        <f>+'Attachment H-7'!I47-SUM(E67:E93)</f>
        <v>1644000071.6192133</v>
      </c>
      <c r="F66" s="59">
        <f t="shared" ref="F66:F92" si="0">$L$36</f>
        <v>4.9407659052967033E-2</v>
      </c>
      <c r="G66" s="973">
        <f t="shared" ref="G66:G85" si="1">E66*F66</f>
        <v>81226195.021615475</v>
      </c>
      <c r="H66" s="218">
        <f>+'Attachment H-7'!I67-SUM(H67:H93)</f>
        <v>1112445554.6922975</v>
      </c>
      <c r="I66" s="59">
        <f>$L$46</f>
        <v>7.960961257069428E-2</v>
      </c>
      <c r="J66" s="219">
        <f>H66*I66</f>
        <v>88561359.615044892</v>
      </c>
      <c r="K66" s="53">
        <f>+'Attachment H-7'!I128-SUM(K67:K93)</f>
        <v>22801630.918364394</v>
      </c>
      <c r="L66" s="219">
        <f>G66+J66+K66</f>
        <v>192589185.55502477</v>
      </c>
      <c r="M66" s="220">
        <v>0</v>
      </c>
      <c r="N66" s="219">
        <f>+'2-Incentive ROE'!K$40*'1-Project Rev Req'!M66/100*H66</f>
        <v>0</v>
      </c>
      <c r="O66" s="219">
        <f>+L66+N66</f>
        <v>192589185.55502477</v>
      </c>
      <c r="P66" s="53">
        <v>0</v>
      </c>
      <c r="Q66" s="219">
        <f t="shared" ref="Q66:Q84" si="2">+L66+N66-P66</f>
        <v>192589185.55502477</v>
      </c>
      <c r="R66" s="219">
        <f>+'3-Project True-up'!K18</f>
        <v>14293293.855527446</v>
      </c>
      <c r="S66" s="53">
        <f>$S$64*Q66/$Q$95</f>
        <v>0</v>
      </c>
      <c r="T66" s="221"/>
    </row>
    <row r="67" spans="1:22">
      <c r="A67" s="215" t="s">
        <v>633</v>
      </c>
      <c r="B67" s="216"/>
      <c r="C67" s="1067" t="s">
        <v>1618</v>
      </c>
      <c r="D67" s="1068" t="s">
        <v>720</v>
      </c>
      <c r="E67" s="1069">
        <v>34380762.07201495</v>
      </c>
      <c r="F67" s="59">
        <f t="shared" si="0"/>
        <v>4.9407659052967033E-2</v>
      </c>
      <c r="G67" s="973">
        <f t="shared" si="1"/>
        <v>1698672.970435295</v>
      </c>
      <c r="H67" s="1069">
        <v>26464721.406516686</v>
      </c>
      <c r="I67" s="59">
        <f t="shared" ref="I67:I92" si="3">$L$46</f>
        <v>7.960961257069428E-2</v>
      </c>
      <c r="J67" s="219">
        <f t="shared" ref="J67:J85" si="4">H67*I67</f>
        <v>2106846.2179641528</v>
      </c>
      <c r="K67" s="882">
        <v>613429.26008504711</v>
      </c>
      <c r="L67" s="219">
        <f>G67+J67+K67</f>
        <v>4418948.4484844953</v>
      </c>
      <c r="M67" s="886">
        <v>0</v>
      </c>
      <c r="N67" s="219">
        <f>+'2-Incentive ROE'!K$40*'1-Project Rev Req'!M67/100*H67</f>
        <v>0</v>
      </c>
      <c r="O67" s="219">
        <f>+L67+N67</f>
        <v>4418948.4484844953</v>
      </c>
      <c r="P67" s="884">
        <v>0</v>
      </c>
      <c r="Q67" s="219">
        <f t="shared" si="2"/>
        <v>4418948.4484844953</v>
      </c>
      <c r="R67" s="889">
        <f>+'3-Project True-up'!K19</f>
        <v>856710.95070462557</v>
      </c>
      <c r="S67" s="884">
        <f>$S$64*Q67/$Q$95</f>
        <v>0</v>
      </c>
      <c r="T67" s="219">
        <f>+Q67+R67+S67</f>
        <v>5275659.3991891211</v>
      </c>
    </row>
    <row r="68" spans="1:22">
      <c r="A68" s="215" t="s">
        <v>635</v>
      </c>
      <c r="B68" s="216"/>
      <c r="C68" s="1067" t="s">
        <v>1619</v>
      </c>
      <c r="D68" s="1068" t="s">
        <v>1620</v>
      </c>
      <c r="E68" s="1069">
        <v>17190381.036007475</v>
      </c>
      <c r="F68" s="59">
        <f t="shared" si="0"/>
        <v>4.9407659052967033E-2</v>
      </c>
      <c r="G68" s="973">
        <f t="shared" si="1"/>
        <v>849336.48521764751</v>
      </c>
      <c r="H68" s="1069">
        <v>13232360.703258343</v>
      </c>
      <c r="I68" s="59">
        <f t="shared" si="3"/>
        <v>7.960961257069428E-2</v>
      </c>
      <c r="J68" s="219">
        <f>H68*I68</f>
        <v>1053423.1089820764</v>
      </c>
      <c r="K68" s="882">
        <v>306714.63004252355</v>
      </c>
      <c r="L68" s="219">
        <f>G68+J68+K68</f>
        <v>2209474.2242422476</v>
      </c>
      <c r="M68" s="886">
        <v>0</v>
      </c>
      <c r="N68" s="219">
        <f>+'2-Incentive ROE'!K$40*'1-Project Rev Req'!M68/100*H68</f>
        <v>0</v>
      </c>
      <c r="O68" s="219">
        <f t="shared" ref="O68:O84" si="5">+L68+N68</f>
        <v>2209474.2242422476</v>
      </c>
      <c r="P68" s="884">
        <v>0</v>
      </c>
      <c r="Q68" s="219">
        <f t="shared" si="2"/>
        <v>2209474.2242422476</v>
      </c>
      <c r="R68" s="889">
        <f>+'3-Project True-up'!K20</f>
        <v>-327121.60684581072</v>
      </c>
      <c r="S68" s="884">
        <f t="shared" ref="S68:S87" si="6">$S$64*Q68/$Q$95</f>
        <v>0</v>
      </c>
      <c r="T68" s="219">
        <f t="shared" ref="T68:T92" si="7">+Q68+R68+S68</f>
        <v>1882352.6173964369</v>
      </c>
    </row>
    <row r="69" spans="1:22">
      <c r="A69" s="215" t="s">
        <v>637</v>
      </c>
      <c r="B69" s="216"/>
      <c r="C69" s="1067" t="s">
        <v>802</v>
      </c>
      <c r="D69" s="1068" t="s">
        <v>722</v>
      </c>
      <c r="E69" s="1069">
        <v>4605740.7974999994</v>
      </c>
      <c r="F69" s="59">
        <f t="shared" si="0"/>
        <v>4.9407659052967033E-2</v>
      </c>
      <c r="G69" s="973">
        <f t="shared" si="1"/>
        <v>227558.87100922046</v>
      </c>
      <c r="H69" s="1069">
        <v>3960130.5504285051</v>
      </c>
      <c r="I69" s="59">
        <f t="shared" si="3"/>
        <v>7.960961257069428E-2</v>
      </c>
      <c r="J69" s="219">
        <f t="shared" si="4"/>
        <v>315264.45884898357</v>
      </c>
      <c r="K69" s="882">
        <v>105299.54917165323</v>
      </c>
      <c r="L69" s="219">
        <f t="shared" ref="L69:L85" si="8">G69+J69+K69</f>
        <v>648122.87902985723</v>
      </c>
      <c r="M69" s="886">
        <v>0</v>
      </c>
      <c r="N69" s="219">
        <f>+'2-Incentive ROE'!K$40*'1-Project Rev Req'!M69/100*H69</f>
        <v>0</v>
      </c>
      <c r="O69" s="219">
        <f t="shared" si="5"/>
        <v>648122.87902985723</v>
      </c>
      <c r="P69" s="884">
        <v>0</v>
      </c>
      <c r="Q69" s="219">
        <f t="shared" si="2"/>
        <v>648122.87902985723</v>
      </c>
      <c r="R69" s="889">
        <f>+'3-Project True-up'!K21</f>
        <v>64672.180880500382</v>
      </c>
      <c r="S69" s="884">
        <f t="shared" si="6"/>
        <v>0</v>
      </c>
      <c r="T69" s="219">
        <f t="shared" si="7"/>
        <v>712795.05991035758</v>
      </c>
    </row>
    <row r="70" spans="1:22">
      <c r="A70" s="215" t="s">
        <v>639</v>
      </c>
      <c r="B70" s="216"/>
      <c r="C70" s="1067" t="s">
        <v>802</v>
      </c>
      <c r="D70" s="1068" t="s">
        <v>1555</v>
      </c>
      <c r="E70" s="1069">
        <v>1535246.9324999999</v>
      </c>
      <c r="F70" s="59">
        <f t="shared" si="0"/>
        <v>4.9407659052967033E-2</v>
      </c>
      <c r="G70" s="973">
        <f t="shared" si="1"/>
        <v>75852.95700307349</v>
      </c>
      <c r="H70" s="1069">
        <v>1320043.5168095017</v>
      </c>
      <c r="I70" s="59">
        <f t="shared" si="3"/>
        <v>7.960961257069428E-2</v>
      </c>
      <c r="J70" s="219">
        <f t="shared" si="4"/>
        <v>105088.15294966119</v>
      </c>
      <c r="K70" s="882">
        <v>35099.849723884407</v>
      </c>
      <c r="L70" s="219">
        <f t="shared" si="8"/>
        <v>216040.95967661907</v>
      </c>
      <c r="M70" s="886">
        <v>0</v>
      </c>
      <c r="N70" s="219">
        <f>+'2-Incentive ROE'!K$40*'1-Project Rev Req'!M70/100*H70</f>
        <v>0</v>
      </c>
      <c r="O70" s="219">
        <f t="shared" si="5"/>
        <v>216040.95967661907</v>
      </c>
      <c r="P70" s="884">
        <v>0</v>
      </c>
      <c r="Q70" s="219">
        <f t="shared" si="2"/>
        <v>216040.95967661907</v>
      </c>
      <c r="R70" s="889">
        <f>+'3-Project True-up'!K22</f>
        <v>12175.736616470429</v>
      </c>
      <c r="S70" s="884">
        <f t="shared" si="6"/>
        <v>0</v>
      </c>
      <c r="T70" s="219">
        <f t="shared" si="7"/>
        <v>228216.69629308948</v>
      </c>
    </row>
    <row r="71" spans="1:22">
      <c r="A71" s="215" t="s">
        <v>641</v>
      </c>
      <c r="B71" s="216"/>
      <c r="C71" s="1067" t="s">
        <v>803</v>
      </c>
      <c r="D71" s="1068" t="s">
        <v>723</v>
      </c>
      <c r="E71" s="1069">
        <v>3258302.26</v>
      </c>
      <c r="F71" s="59">
        <f t="shared" si="0"/>
        <v>4.9407659052967033E-2</v>
      </c>
      <c r="G71" s="973">
        <f t="shared" si="1"/>
        <v>160985.08715359194</v>
      </c>
      <c r="H71" s="1069">
        <v>2501739.6164057134</v>
      </c>
      <c r="I71" s="59">
        <f t="shared" si="3"/>
        <v>7.960961257069428E-2</v>
      </c>
      <c r="J71" s="219">
        <f t="shared" si="4"/>
        <v>199162.52161481616</v>
      </c>
      <c r="K71" s="882">
        <v>58493.019456173184</v>
      </c>
      <c r="L71" s="219">
        <f t="shared" si="8"/>
        <v>418640.62822458125</v>
      </c>
      <c r="M71" s="886">
        <v>0</v>
      </c>
      <c r="N71" s="219">
        <f>+'2-Incentive ROE'!K$40*'1-Project Rev Req'!M71/100*H71</f>
        <v>0</v>
      </c>
      <c r="O71" s="219">
        <f t="shared" si="5"/>
        <v>418640.62822458125</v>
      </c>
      <c r="P71" s="884">
        <v>0</v>
      </c>
      <c r="Q71" s="219">
        <f t="shared" si="2"/>
        <v>418640.62822458125</v>
      </c>
      <c r="R71" s="889">
        <f>+'3-Project True-up'!K23</f>
        <v>30610.90612792526</v>
      </c>
      <c r="S71" s="884">
        <f t="shared" si="6"/>
        <v>0</v>
      </c>
      <c r="T71" s="219">
        <f t="shared" si="7"/>
        <v>449251.53435250651</v>
      </c>
    </row>
    <row r="72" spans="1:22">
      <c r="A72" s="215" t="s">
        <v>643</v>
      </c>
      <c r="B72" s="216"/>
      <c r="C72" s="1067" t="s">
        <v>804</v>
      </c>
      <c r="D72" s="1068" t="s">
        <v>724</v>
      </c>
      <c r="E72" s="1069">
        <v>4456731.2700000005</v>
      </c>
      <c r="F72" s="59">
        <f t="shared" si="0"/>
        <v>4.9407659052967033E-2</v>
      </c>
      <c r="G72" s="973">
        <f t="shared" si="1"/>
        <v>220196.65907885678</v>
      </c>
      <c r="H72" s="1069">
        <v>3342173.7072005575</v>
      </c>
      <c r="I72" s="59">
        <f t="shared" si="3"/>
        <v>7.960961257069428E-2</v>
      </c>
      <c r="J72" s="219">
        <f t="shared" si="4"/>
        <v>266069.1539741974</v>
      </c>
      <c r="K72" s="882">
        <v>78143.157025294888</v>
      </c>
      <c r="L72" s="219">
        <f t="shared" si="8"/>
        <v>564408.970078349</v>
      </c>
      <c r="M72" s="886">
        <v>0</v>
      </c>
      <c r="N72" s="219">
        <f>+'2-Incentive ROE'!K$40*'1-Project Rev Req'!M72/100*H72</f>
        <v>0</v>
      </c>
      <c r="O72" s="219">
        <f t="shared" si="5"/>
        <v>564408.970078349</v>
      </c>
      <c r="P72" s="884">
        <v>0</v>
      </c>
      <c r="Q72" s="219">
        <f t="shared" si="2"/>
        <v>564408.970078349</v>
      </c>
      <c r="R72" s="889">
        <f>+'3-Project True-up'!K24</f>
        <v>41673.189094225214</v>
      </c>
      <c r="S72" s="884">
        <f t="shared" si="6"/>
        <v>0</v>
      </c>
      <c r="T72" s="219">
        <f t="shared" si="7"/>
        <v>606082.15917257417</v>
      </c>
    </row>
    <row r="73" spans="1:22">
      <c r="A73" s="215" t="s">
        <v>739</v>
      </c>
      <c r="B73" s="216"/>
      <c r="C73" s="1067" t="s">
        <v>805</v>
      </c>
      <c r="D73" s="1068" t="s">
        <v>1621</v>
      </c>
      <c r="E73" s="1069">
        <v>13635957.410937594</v>
      </c>
      <c r="F73" s="59">
        <f t="shared" si="0"/>
        <v>4.9407659052967033E-2</v>
      </c>
      <c r="G73" s="973">
        <f t="shared" si="1"/>
        <v>673720.73462038371</v>
      </c>
      <c r="H73" s="1069">
        <v>11446601.887364862</v>
      </c>
      <c r="I73" s="59">
        <f t="shared" si="3"/>
        <v>7.960961257069428E-2</v>
      </c>
      <c r="J73" s="219">
        <f t="shared" si="4"/>
        <v>911259.54150409461</v>
      </c>
      <c r="K73" s="882">
        <v>283749.91133146628</v>
      </c>
      <c r="L73" s="219">
        <f t="shared" si="8"/>
        <v>1868730.1874559447</v>
      </c>
      <c r="M73" s="886">
        <v>0</v>
      </c>
      <c r="N73" s="219">
        <f>+'2-Incentive ROE'!K$40*'1-Project Rev Req'!M73/100*H73</f>
        <v>0</v>
      </c>
      <c r="O73" s="219">
        <f t="shared" si="5"/>
        <v>1868730.1874559447</v>
      </c>
      <c r="P73" s="884">
        <v>0</v>
      </c>
      <c r="Q73" s="219">
        <f t="shared" si="2"/>
        <v>1868730.1874559447</v>
      </c>
      <c r="R73" s="889">
        <f>+'3-Project True-up'!K25</f>
        <v>138831.23799064668</v>
      </c>
      <c r="S73" s="884">
        <f t="shared" si="6"/>
        <v>0</v>
      </c>
      <c r="T73" s="219">
        <f t="shared" si="7"/>
        <v>2007561.4254465913</v>
      </c>
    </row>
    <row r="74" spans="1:22">
      <c r="A74" s="215" t="s">
        <v>740</v>
      </c>
      <c r="B74" s="216"/>
      <c r="C74" s="1067" t="s">
        <v>883</v>
      </c>
      <c r="D74" s="1068" t="s">
        <v>884</v>
      </c>
      <c r="E74" s="1069">
        <v>23835043.219999999</v>
      </c>
      <c r="F74" s="59">
        <f t="shared" si="0"/>
        <v>4.9407659052967033E-2</v>
      </c>
      <c r="G74" s="973">
        <f t="shared" si="1"/>
        <v>1177633.6889264935</v>
      </c>
      <c r="H74" s="1069">
        <v>29440486.23560442</v>
      </c>
      <c r="I74" s="59">
        <f t="shared" si="3"/>
        <v>7.960961257069428E-2</v>
      </c>
      <c r="J74" s="219">
        <f t="shared" si="4"/>
        <v>2343745.7031093254</v>
      </c>
      <c r="K74" s="882">
        <v>739497.18044573138</v>
      </c>
      <c r="L74" s="219">
        <f t="shared" si="8"/>
        <v>4260876.5724815503</v>
      </c>
      <c r="M74" s="886">
        <v>0</v>
      </c>
      <c r="N74" s="219">
        <f>+'2-Incentive ROE'!K$40*'1-Project Rev Req'!M74/100*H74</f>
        <v>0</v>
      </c>
      <c r="O74" s="219">
        <f t="shared" si="5"/>
        <v>4260876.5724815503</v>
      </c>
      <c r="P74" s="884">
        <v>0</v>
      </c>
      <c r="Q74" s="219">
        <f t="shared" si="2"/>
        <v>4260876.5724815503</v>
      </c>
      <c r="R74" s="889">
        <f>+'3-Project True-up'!K26</f>
        <v>193923.45978297963</v>
      </c>
      <c r="S74" s="884">
        <f t="shared" si="6"/>
        <v>0</v>
      </c>
      <c r="T74" s="219">
        <f t="shared" si="7"/>
        <v>4454800.0322645297</v>
      </c>
    </row>
    <row r="75" spans="1:22">
      <c r="A75" s="215" t="s">
        <v>741</v>
      </c>
      <c r="B75" s="216"/>
      <c r="C75" s="1067" t="s">
        <v>806</v>
      </c>
      <c r="D75" s="1068" t="s">
        <v>725</v>
      </c>
      <c r="E75" s="1069">
        <v>18039798.850466669</v>
      </c>
      <c r="F75" s="59">
        <f t="shared" si="0"/>
        <v>4.9407659052967033E-2</v>
      </c>
      <c r="G75" s="973">
        <f t="shared" si="1"/>
        <v>891304.23098796373</v>
      </c>
      <c r="H75" s="1069">
        <v>14686240.200535128</v>
      </c>
      <c r="I75" s="59">
        <f t="shared" si="3"/>
        <v>7.960961257069428E-2</v>
      </c>
      <c r="J75" s="219">
        <f t="shared" si="4"/>
        <v>1169165.8924847569</v>
      </c>
      <c r="K75" s="882">
        <v>408584.72277138557</v>
      </c>
      <c r="L75" s="219">
        <f t="shared" si="8"/>
        <v>2469054.8462441061</v>
      </c>
      <c r="M75" s="886">
        <v>0</v>
      </c>
      <c r="N75" s="219">
        <f>+'2-Incentive ROE'!K$40*'1-Project Rev Req'!M75/100*H75</f>
        <v>0</v>
      </c>
      <c r="O75" s="219">
        <f t="shared" si="5"/>
        <v>2469054.8462441061</v>
      </c>
      <c r="P75" s="884">
        <v>0</v>
      </c>
      <c r="Q75" s="219">
        <f t="shared" si="2"/>
        <v>2469054.8462441061</v>
      </c>
      <c r="R75" s="889">
        <f>+'3-Project True-up'!K27</f>
        <v>224451.1641944453</v>
      </c>
      <c r="S75" s="884">
        <f t="shared" si="6"/>
        <v>0</v>
      </c>
      <c r="T75" s="219">
        <f t="shared" si="7"/>
        <v>2693506.0104385512</v>
      </c>
    </row>
    <row r="76" spans="1:22">
      <c r="A76" s="215" t="s">
        <v>742</v>
      </c>
      <c r="B76" s="216"/>
      <c r="C76" s="1067" t="s">
        <v>807</v>
      </c>
      <c r="D76" s="1068" t="s">
        <v>726</v>
      </c>
      <c r="E76" s="1069">
        <v>16739502.841800349</v>
      </c>
      <c r="F76" s="59">
        <f t="shared" si="0"/>
        <v>4.9407659052967033E-2</v>
      </c>
      <c r="G76" s="973">
        <f t="shared" si="1"/>
        <v>827059.64912384434</v>
      </c>
      <c r="H76" s="1069">
        <v>14496728.578785973</v>
      </c>
      <c r="I76" s="59">
        <f t="shared" si="3"/>
        <v>7.960961257069428E-2</v>
      </c>
      <c r="J76" s="219">
        <f t="shared" si="4"/>
        <v>1154078.9456996629</v>
      </c>
      <c r="K76" s="882">
        <v>343989.93160756747</v>
      </c>
      <c r="L76" s="219">
        <f t="shared" si="8"/>
        <v>2325128.5264310744</v>
      </c>
      <c r="M76" s="886">
        <v>0</v>
      </c>
      <c r="N76" s="219">
        <f>+'2-Incentive ROE'!K$40*'1-Project Rev Req'!M76/100*H76</f>
        <v>0</v>
      </c>
      <c r="O76" s="219">
        <f t="shared" si="5"/>
        <v>2325128.5264310744</v>
      </c>
      <c r="P76" s="884">
        <v>0</v>
      </c>
      <c r="Q76" s="219">
        <f t="shared" si="2"/>
        <v>2325128.5264310744</v>
      </c>
      <c r="R76" s="889">
        <f>+'3-Project True-up'!K28</f>
        <v>181329.81439500296</v>
      </c>
      <c r="S76" s="884">
        <f t="shared" si="6"/>
        <v>0</v>
      </c>
      <c r="T76" s="219">
        <f t="shared" si="7"/>
        <v>2506458.3408260774</v>
      </c>
    </row>
    <row r="77" spans="1:22">
      <c r="A77" s="215" t="s">
        <v>743</v>
      </c>
      <c r="B77" s="216"/>
      <c r="C77" s="1067" t="s">
        <v>808</v>
      </c>
      <c r="D77" s="1068" t="s">
        <v>727</v>
      </c>
      <c r="E77" s="1069">
        <v>17916294.0658517</v>
      </c>
      <c r="F77" s="59">
        <f t="shared" si="0"/>
        <v>4.9407659052967033E-2</v>
      </c>
      <c r="G77" s="973">
        <f t="shared" si="1"/>
        <v>885202.14869829721</v>
      </c>
      <c r="H77" s="1069">
        <v>14087091.572507586</v>
      </c>
      <c r="I77" s="59">
        <f t="shared" si="3"/>
        <v>7.960961257069428E-2</v>
      </c>
      <c r="J77" s="219">
        <f t="shared" si="4"/>
        <v>1121467.9023352214</v>
      </c>
      <c r="K77" s="882">
        <v>387175.60368748684</v>
      </c>
      <c r="L77" s="219">
        <f t="shared" si="8"/>
        <v>2393845.6547210058</v>
      </c>
      <c r="M77" s="886">
        <v>0</v>
      </c>
      <c r="N77" s="219">
        <f>+'2-Incentive ROE'!K$40*'1-Project Rev Req'!M77/100*H77</f>
        <v>0</v>
      </c>
      <c r="O77" s="219">
        <f t="shared" si="5"/>
        <v>2393845.6547210058</v>
      </c>
      <c r="P77" s="884">
        <v>0</v>
      </c>
      <c r="Q77" s="219">
        <f t="shared" si="2"/>
        <v>2393845.6547210058</v>
      </c>
      <c r="R77" s="889">
        <f>+'3-Project True-up'!K29</f>
        <v>179812.33233619336</v>
      </c>
      <c r="S77" s="884">
        <f t="shared" si="6"/>
        <v>0</v>
      </c>
      <c r="T77" s="219">
        <f t="shared" si="7"/>
        <v>2573657.9870571992</v>
      </c>
    </row>
    <row r="78" spans="1:22">
      <c r="A78" s="215" t="s">
        <v>744</v>
      </c>
      <c r="B78" s="216"/>
      <c r="C78" s="1067" t="s">
        <v>809</v>
      </c>
      <c r="D78" s="1068" t="s">
        <v>728</v>
      </c>
      <c r="E78" s="1069">
        <v>11069022.190222681</v>
      </c>
      <c r="F78" s="59">
        <f t="shared" si="0"/>
        <v>4.9407659052967033E-2</v>
      </c>
      <c r="G78" s="973">
        <f t="shared" si="1"/>
        <v>546894.47442424856</v>
      </c>
      <c r="H78" s="1069">
        <v>9672449.3269334082</v>
      </c>
      <c r="I78" s="59">
        <f t="shared" si="3"/>
        <v>7.960961257069428E-2</v>
      </c>
      <c r="J78" s="219">
        <f t="shared" si="4"/>
        <v>770019.94352684123</v>
      </c>
      <c r="K78" s="882">
        <v>226967.52387084911</v>
      </c>
      <c r="L78" s="219">
        <f t="shared" si="8"/>
        <v>1543881.9418219388</v>
      </c>
      <c r="M78" s="886">
        <v>0</v>
      </c>
      <c r="N78" s="219">
        <f>+'2-Incentive ROE'!K$40*'1-Project Rev Req'!M78/100*H78</f>
        <v>0</v>
      </c>
      <c r="O78" s="219">
        <f t="shared" si="5"/>
        <v>1543881.9418219388</v>
      </c>
      <c r="P78" s="884">
        <v>0</v>
      </c>
      <c r="Q78" s="219">
        <f t="shared" si="2"/>
        <v>1543881.9418219388</v>
      </c>
      <c r="R78" s="889">
        <f>+'3-Project True-up'!K30</f>
        <v>119482.72538707095</v>
      </c>
      <c r="S78" s="884">
        <f t="shared" si="6"/>
        <v>0</v>
      </c>
      <c r="T78" s="219">
        <f t="shared" si="7"/>
        <v>1663364.6672090099</v>
      </c>
    </row>
    <row r="79" spans="1:22">
      <c r="A79" s="215" t="s">
        <v>1560</v>
      </c>
      <c r="B79" s="216"/>
      <c r="C79" s="1067" t="s">
        <v>810</v>
      </c>
      <c r="D79" s="1068" t="s">
        <v>729</v>
      </c>
      <c r="E79" s="1069">
        <v>8327921.7018409725</v>
      </c>
      <c r="F79" s="59">
        <f t="shared" si="0"/>
        <v>4.9407659052967033E-2</v>
      </c>
      <c r="G79" s="973">
        <f t="shared" si="1"/>
        <v>411463.11606436374</v>
      </c>
      <c r="H79" s="1069">
        <v>6670265.2086098921</v>
      </c>
      <c r="I79" s="59">
        <f t="shared" si="3"/>
        <v>7.960961257069428E-2</v>
      </c>
      <c r="J79" s="219">
        <f t="shared" si="4"/>
        <v>531017.22900121473</v>
      </c>
      <c r="K79" s="882">
        <v>155959.78703451436</v>
      </c>
      <c r="L79" s="219">
        <f t="shared" si="8"/>
        <v>1098440.1321000927</v>
      </c>
      <c r="M79" s="886">
        <v>0</v>
      </c>
      <c r="N79" s="219">
        <f>+'2-Incentive ROE'!K$40*'1-Project Rev Req'!M79/100*H79</f>
        <v>0</v>
      </c>
      <c r="O79" s="219">
        <f t="shared" si="5"/>
        <v>1098440.1321000927</v>
      </c>
      <c r="P79" s="884">
        <v>0</v>
      </c>
      <c r="Q79" s="219">
        <f t="shared" si="2"/>
        <v>1098440.1321000927</v>
      </c>
      <c r="R79" s="889">
        <f>+'3-Project True-up'!K31</f>
        <v>81364.733050180279</v>
      </c>
      <c r="S79" s="884">
        <f t="shared" si="6"/>
        <v>0</v>
      </c>
      <c r="T79" s="219">
        <f t="shared" si="7"/>
        <v>1179804.8651502731</v>
      </c>
    </row>
    <row r="80" spans="1:22">
      <c r="A80" s="215" t="s">
        <v>745</v>
      </c>
      <c r="B80" s="216"/>
      <c r="C80" s="1067" t="s">
        <v>1622</v>
      </c>
      <c r="D80" s="1068" t="s">
        <v>730</v>
      </c>
      <c r="E80" s="1069">
        <v>1712754.31</v>
      </c>
      <c r="F80" s="59">
        <f t="shared" si="0"/>
        <v>4.9407659052967033E-2</v>
      </c>
      <c r="G80" s="973">
        <f t="shared" si="1"/>
        <v>84623.18098997981</v>
      </c>
      <c r="H80" s="1069">
        <v>1446281.5798763519</v>
      </c>
      <c r="I80" s="59">
        <f t="shared" si="3"/>
        <v>7.960961257069428E-2</v>
      </c>
      <c r="J80" s="219">
        <f t="shared" si="4"/>
        <v>115137.916242088</v>
      </c>
      <c r="K80" s="882">
        <v>33815.420292362251</v>
      </c>
      <c r="L80" s="219">
        <f t="shared" si="8"/>
        <v>233576.51752443006</v>
      </c>
      <c r="M80" s="886">
        <v>0</v>
      </c>
      <c r="N80" s="219">
        <f>+'2-Incentive ROE'!K$40*'1-Project Rev Req'!M80/100*H80</f>
        <v>0</v>
      </c>
      <c r="O80" s="219">
        <f t="shared" si="5"/>
        <v>233576.51752443006</v>
      </c>
      <c r="P80" s="884">
        <v>0</v>
      </c>
      <c r="Q80" s="219">
        <f t="shared" si="2"/>
        <v>233576.51752443006</v>
      </c>
      <c r="R80" s="889">
        <f>+'3-Project True-up'!K32</f>
        <v>16663.719796297555</v>
      </c>
      <c r="S80" s="884">
        <f t="shared" si="6"/>
        <v>0</v>
      </c>
      <c r="T80" s="219">
        <f t="shared" si="7"/>
        <v>250240.23732072761</v>
      </c>
    </row>
    <row r="81" spans="1:20">
      <c r="A81" s="215" t="s">
        <v>746</v>
      </c>
      <c r="B81" s="216"/>
      <c r="C81" s="1067" t="s">
        <v>812</v>
      </c>
      <c r="D81" s="1068" t="s">
        <v>731</v>
      </c>
      <c r="E81" s="1069">
        <v>2229231.87</v>
      </c>
      <c r="F81" s="59">
        <f t="shared" si="0"/>
        <v>4.9407659052967033E-2</v>
      </c>
      <c r="G81" s="973">
        <f t="shared" si="1"/>
        <v>110141.12818296814</v>
      </c>
      <c r="H81" s="1069">
        <v>1671489.9897363221</v>
      </c>
      <c r="I81" s="59">
        <f t="shared" si="3"/>
        <v>7.960961257069428E-2</v>
      </c>
      <c r="J81" s="219">
        <f t="shared" si="4"/>
        <v>133066.67049870235</v>
      </c>
      <c r="K81" s="882">
        <v>47334.425830176042</v>
      </c>
      <c r="L81" s="219">
        <f t="shared" si="8"/>
        <v>290542.22451184655</v>
      </c>
      <c r="M81" s="886">
        <v>0</v>
      </c>
      <c r="N81" s="219">
        <f>+'2-Incentive ROE'!K$40*'1-Project Rev Req'!M81/100*H81</f>
        <v>0</v>
      </c>
      <c r="O81" s="219">
        <f t="shared" si="5"/>
        <v>290542.22451184655</v>
      </c>
      <c r="P81" s="884">
        <v>0</v>
      </c>
      <c r="Q81" s="219">
        <f t="shared" si="2"/>
        <v>290542.22451184655</v>
      </c>
      <c r="R81" s="889">
        <f>+'3-Project True-up'!K33</f>
        <v>21592.406646757958</v>
      </c>
      <c r="S81" s="884">
        <f t="shared" si="6"/>
        <v>0</v>
      </c>
      <c r="T81" s="219">
        <f t="shared" si="7"/>
        <v>312134.63115860452</v>
      </c>
    </row>
    <row r="82" spans="1:20">
      <c r="A82" s="215" t="s">
        <v>747</v>
      </c>
      <c r="B82" s="216"/>
      <c r="C82" s="1067" t="s">
        <v>989</v>
      </c>
      <c r="D82" s="1068" t="s">
        <v>732</v>
      </c>
      <c r="E82" s="1069">
        <v>2546903.0099999998</v>
      </c>
      <c r="F82" s="59">
        <f t="shared" si="0"/>
        <v>4.9407659052967033E-2</v>
      </c>
      <c r="G82" s="973">
        <f t="shared" si="1"/>
        <v>125836.51555905548</v>
      </c>
      <c r="H82" s="1069">
        <v>1848268.6314863255</v>
      </c>
      <c r="I82" s="59">
        <f t="shared" si="3"/>
        <v>7.960961257069428E-2</v>
      </c>
      <c r="J82" s="219">
        <f t="shared" si="4"/>
        <v>147139.9496791937</v>
      </c>
      <c r="K82" s="882">
        <v>52340.567391092503</v>
      </c>
      <c r="L82" s="219">
        <f t="shared" si="8"/>
        <v>325317.03262934164</v>
      </c>
      <c r="M82" s="886">
        <v>0</v>
      </c>
      <c r="N82" s="219">
        <f>+'2-Incentive ROE'!K$40*'1-Project Rev Req'!M82/100*H82</f>
        <v>0</v>
      </c>
      <c r="O82" s="219">
        <f t="shared" si="5"/>
        <v>325317.03262934164</v>
      </c>
      <c r="P82" s="884">
        <v>0</v>
      </c>
      <c r="Q82" s="219">
        <f t="shared" si="2"/>
        <v>325317.03262934164</v>
      </c>
      <c r="R82" s="889">
        <f>+'3-Project True-up'!K34</f>
        <v>24316.311311301222</v>
      </c>
      <c r="S82" s="884">
        <f t="shared" si="6"/>
        <v>0</v>
      </c>
      <c r="T82" s="219">
        <f t="shared" si="7"/>
        <v>349633.3439406429</v>
      </c>
    </row>
    <row r="83" spans="1:20">
      <c r="A83" s="215" t="s">
        <v>748</v>
      </c>
      <c r="B83" s="216"/>
      <c r="C83" s="1067" t="s">
        <v>811</v>
      </c>
      <c r="D83" s="1068" t="s">
        <v>733</v>
      </c>
      <c r="E83" s="1069">
        <v>2359200.13</v>
      </c>
      <c r="F83" s="59">
        <f t="shared" si="0"/>
        <v>4.9407659052967033E-2</v>
      </c>
      <c r="G83" s="973">
        <f t="shared" si="1"/>
        <v>116562.55566075549</v>
      </c>
      <c r="H83" s="1069">
        <v>1973101.3122339663</v>
      </c>
      <c r="I83" s="59">
        <f t="shared" si="3"/>
        <v>7.960961257069428E-2</v>
      </c>
      <c r="J83" s="219">
        <f t="shared" si="4"/>
        <v>157077.83102967453</v>
      </c>
      <c r="K83" s="882">
        <v>46132.959916634863</v>
      </c>
      <c r="L83" s="219">
        <f t="shared" si="8"/>
        <v>319773.34660706483</v>
      </c>
      <c r="M83" s="886">
        <v>0</v>
      </c>
      <c r="N83" s="219">
        <f>+'2-Incentive ROE'!K$40*'1-Project Rev Req'!M83/100*H83</f>
        <v>0</v>
      </c>
      <c r="O83" s="219">
        <f t="shared" si="5"/>
        <v>319773.34660706483</v>
      </c>
      <c r="P83" s="884">
        <v>0</v>
      </c>
      <c r="Q83" s="219">
        <f t="shared" si="2"/>
        <v>319773.34660706483</v>
      </c>
      <c r="R83" s="889">
        <f>+'3-Project True-up'!K35</f>
        <v>22877.601550960353</v>
      </c>
      <c r="S83" s="884">
        <f t="shared" si="6"/>
        <v>0</v>
      </c>
      <c r="T83" s="219">
        <f t="shared" si="7"/>
        <v>342650.94815802516</v>
      </c>
    </row>
    <row r="84" spans="1:20">
      <c r="A84" s="215" t="s">
        <v>749</v>
      </c>
      <c r="B84" s="216"/>
      <c r="C84" s="1067" t="s">
        <v>813</v>
      </c>
      <c r="D84" s="1068" t="s">
        <v>734</v>
      </c>
      <c r="E84" s="1069">
        <v>3631395.7</v>
      </c>
      <c r="F84" s="59">
        <f t="shared" si="0"/>
        <v>4.9407659052967033E-2</v>
      </c>
      <c r="G84" s="973">
        <f t="shared" si="1"/>
        <v>179418.76063201056</v>
      </c>
      <c r="H84" s="1069">
        <v>2507184.4282695758</v>
      </c>
      <c r="I84" s="59">
        <f t="shared" si="3"/>
        <v>7.960961257069428E-2</v>
      </c>
      <c r="J84" s="219">
        <f t="shared" si="4"/>
        <v>199595.98097781857</v>
      </c>
      <c r="K84" s="882">
        <v>58620.324266074102</v>
      </c>
      <c r="L84" s="219">
        <f t="shared" si="8"/>
        <v>437635.06587590324</v>
      </c>
      <c r="M84" s="886">
        <v>0</v>
      </c>
      <c r="N84" s="219">
        <f>+'2-Incentive ROE'!K$40*'1-Project Rev Req'!M84/100*H84</f>
        <v>0</v>
      </c>
      <c r="O84" s="219">
        <f t="shared" si="5"/>
        <v>437635.06587590324</v>
      </c>
      <c r="P84" s="884">
        <v>0</v>
      </c>
      <c r="Q84" s="219">
        <f t="shared" si="2"/>
        <v>437635.06587590324</v>
      </c>
      <c r="R84" s="889">
        <f>+'3-Project True-up'!K36</f>
        <v>32987.183958837588</v>
      </c>
      <c r="S84" s="884">
        <f t="shared" si="6"/>
        <v>0</v>
      </c>
      <c r="T84" s="219">
        <f t="shared" si="7"/>
        <v>470622.24983474083</v>
      </c>
    </row>
    <row r="85" spans="1:20">
      <c r="A85" s="215" t="s">
        <v>1556</v>
      </c>
      <c r="B85" s="216"/>
      <c r="C85" s="1067" t="s">
        <v>814</v>
      </c>
      <c r="D85" s="1068" t="s">
        <v>735</v>
      </c>
      <c r="E85" s="1069">
        <v>4811873.2300000004</v>
      </c>
      <c r="F85" s="59">
        <f t="shared" si="0"/>
        <v>4.9407659052967033E-2</v>
      </c>
      <c r="G85" s="973">
        <f t="shared" si="1"/>
        <v>237743.39195393925</v>
      </c>
      <c r="H85" s="1069">
        <v>3413618.7854934186</v>
      </c>
      <c r="I85" s="59">
        <f t="shared" si="3"/>
        <v>7.960961257069428E-2</v>
      </c>
      <c r="J85" s="219">
        <f t="shared" si="4"/>
        <v>271756.86897717498</v>
      </c>
      <c r="K85" s="882">
        <v>79813.609988196025</v>
      </c>
      <c r="L85" s="219">
        <f t="shared" si="8"/>
        <v>589313.87091931025</v>
      </c>
      <c r="M85" s="886">
        <v>0</v>
      </c>
      <c r="N85" s="219">
        <f>+'2-Incentive ROE'!K$40*'1-Project Rev Req'!M85/100*H85</f>
        <v>0</v>
      </c>
      <c r="O85" s="219">
        <f t="shared" ref="O85" si="9">+L85+N85</f>
        <v>589313.87091931025</v>
      </c>
      <c r="P85" s="884">
        <v>0</v>
      </c>
      <c r="Q85" s="219">
        <f t="shared" ref="Q85" si="10">+L85+N85-P85</f>
        <v>589313.87091931025</v>
      </c>
      <c r="R85" s="889">
        <f>+'3-Project True-up'!K37</f>
        <v>44078.066170809441</v>
      </c>
      <c r="S85" s="884">
        <f t="shared" si="6"/>
        <v>0</v>
      </c>
      <c r="T85" s="219">
        <f t="shared" si="7"/>
        <v>633391.9370901197</v>
      </c>
    </row>
    <row r="86" spans="1:20">
      <c r="A86" s="215" t="s">
        <v>750</v>
      </c>
      <c r="B86" s="216"/>
      <c r="C86" s="1067" t="s">
        <v>815</v>
      </c>
      <c r="D86" s="1068" t="s">
        <v>737</v>
      </c>
      <c r="E86" s="1069">
        <v>2699443.66</v>
      </c>
      <c r="F86" s="59">
        <f t="shared" si="0"/>
        <v>4.9407659052967033E-2</v>
      </c>
      <c r="G86" s="973">
        <f t="shared" ref="G86" si="11">E86*F86</f>
        <v>133373.19198597348</v>
      </c>
      <c r="H86" s="1069">
        <v>1945747.2856140186</v>
      </c>
      <c r="I86" s="59">
        <f t="shared" si="3"/>
        <v>7.960961257069428E-2</v>
      </c>
      <c r="J86" s="219">
        <f t="shared" ref="J86:J87" si="12">H86*I86</f>
        <v>154900.18756821204</v>
      </c>
      <c r="K86" s="882">
        <v>45493.397109701305</v>
      </c>
      <c r="L86" s="219">
        <f t="shared" ref="L86:L92" si="13">G86+J86+K86</f>
        <v>333766.77666388685</v>
      </c>
      <c r="M86" s="886">
        <v>0</v>
      </c>
      <c r="N86" s="219">
        <f>+'2-Incentive ROE'!K$40*'1-Project Rev Req'!M86/100*H86</f>
        <v>0</v>
      </c>
      <c r="O86" s="219">
        <f t="shared" ref="O86" si="14">+L86+N86</f>
        <v>333766.77666388685</v>
      </c>
      <c r="P86" s="884">
        <v>0</v>
      </c>
      <c r="Q86" s="219">
        <f t="shared" ref="Q86" si="15">+L86+N86-P86</f>
        <v>333766.77666388685</v>
      </c>
      <c r="R86" s="889">
        <f>+'3-Project True-up'!K38</f>
        <v>24850.825835743788</v>
      </c>
      <c r="S86" s="884">
        <f t="shared" si="6"/>
        <v>0</v>
      </c>
      <c r="T86" s="219">
        <f t="shared" si="7"/>
        <v>358617.60249963065</v>
      </c>
    </row>
    <row r="87" spans="1:20">
      <c r="A87" s="215" t="s">
        <v>751</v>
      </c>
      <c r="B87" s="216"/>
      <c r="C87" s="1067" t="s">
        <v>990</v>
      </c>
      <c r="D87" s="1068" t="s">
        <v>1567</v>
      </c>
      <c r="E87" s="1069">
        <v>2221241.1799999997</v>
      </c>
      <c r="F87" s="59">
        <f t="shared" si="0"/>
        <v>4.9407659052967033E-2</v>
      </c>
      <c r="G87" s="973">
        <f t="shared" ref="G87" si="16">E87*F87</f>
        <v>109746.32689585016</v>
      </c>
      <c r="H87" s="1069">
        <v>1550295.0192776248</v>
      </c>
      <c r="I87" s="59">
        <f t="shared" si="3"/>
        <v>7.960961257069428E-2</v>
      </c>
      <c r="J87" s="219">
        <f t="shared" si="12"/>
        <v>123418.38585496873</v>
      </c>
      <c r="K87" s="882">
        <v>43902.341656538534</v>
      </c>
      <c r="L87" s="219">
        <f t="shared" si="13"/>
        <v>277067.05440735741</v>
      </c>
      <c r="M87" s="886">
        <v>0</v>
      </c>
      <c r="N87" s="219">
        <f>+'2-Incentive ROE'!K$40*'1-Project Rev Req'!M87/100*H87</f>
        <v>0</v>
      </c>
      <c r="O87" s="219">
        <f t="shared" ref="O87" si="17">+L87+N87</f>
        <v>277067.05440735741</v>
      </c>
      <c r="P87" s="884">
        <v>0</v>
      </c>
      <c r="Q87" s="219">
        <f t="shared" ref="Q87:Q90" si="18">+L87+N87-P87</f>
        <v>277067.05440735741</v>
      </c>
      <c r="R87" s="889">
        <f>+'3-Project True-up'!K39</f>
        <v>20936.013482449533</v>
      </c>
      <c r="S87" s="884">
        <f t="shared" si="6"/>
        <v>0</v>
      </c>
      <c r="T87" s="219">
        <f t="shared" si="7"/>
        <v>298003.06788980693</v>
      </c>
    </row>
    <row r="88" spans="1:20">
      <c r="A88" s="215" t="s">
        <v>752</v>
      </c>
      <c r="B88" s="216"/>
      <c r="C88" s="1067" t="s">
        <v>816</v>
      </c>
      <c r="D88" s="1068" t="s">
        <v>738</v>
      </c>
      <c r="E88" s="1069">
        <v>1723078.3099999996</v>
      </c>
      <c r="F88" s="59">
        <f t="shared" si="0"/>
        <v>4.9407659052967033E-2</v>
      </c>
      <c r="G88" s="973">
        <f t="shared" ref="G88:G90" si="19">E88*F88</f>
        <v>85133.265662042613</v>
      </c>
      <c r="H88" s="1069">
        <v>1728878.4755857368</v>
      </c>
      <c r="I88" s="59">
        <f t="shared" si="3"/>
        <v>7.960961257069428E-2</v>
      </c>
      <c r="J88" s="219">
        <f t="shared" ref="J88:J90" si="20">H88*I88</f>
        <v>137635.34562319305</v>
      </c>
      <c r="K88" s="882">
        <v>51193.520052594766</v>
      </c>
      <c r="L88" s="219">
        <f t="shared" si="13"/>
        <v>273962.13133783045</v>
      </c>
      <c r="M88" s="886">
        <v>0</v>
      </c>
      <c r="N88" s="219">
        <f>+'2-Incentive ROE'!K$40*'1-Project Rev Req'!M88/100*H88</f>
        <v>0</v>
      </c>
      <c r="O88" s="219">
        <f t="shared" ref="O88:O90" si="21">+L88+N88</f>
        <v>273962.13133783045</v>
      </c>
      <c r="P88" s="884">
        <v>0</v>
      </c>
      <c r="Q88" s="219">
        <f t="shared" si="18"/>
        <v>273962.13133783045</v>
      </c>
      <c r="R88" s="889">
        <f>+'3-Project True-up'!K40</f>
        <v>18953.13978004194</v>
      </c>
      <c r="S88" s="884">
        <f t="shared" ref="S88:S90" si="22">$S$64*Q88/$Q$95</f>
        <v>0</v>
      </c>
      <c r="T88" s="219">
        <f t="shared" si="7"/>
        <v>292915.27111787238</v>
      </c>
    </row>
    <row r="89" spans="1:20">
      <c r="A89" s="215" t="s">
        <v>753</v>
      </c>
      <c r="B89" s="216"/>
      <c r="C89" s="1067" t="s">
        <v>1178</v>
      </c>
      <c r="D89" s="1068" t="s">
        <v>721</v>
      </c>
      <c r="E89" s="1069">
        <v>5325224.6099999994</v>
      </c>
      <c r="F89" s="59">
        <f t="shared" si="0"/>
        <v>4.9407659052967033E-2</v>
      </c>
      <c r="G89" s="973">
        <f t="shared" si="19"/>
        <v>263106.88191134931</v>
      </c>
      <c r="H89" s="1069">
        <v>4297930.1155113168</v>
      </c>
      <c r="I89" s="59">
        <f t="shared" si="3"/>
        <v>7.960961257069428E-2</v>
      </c>
      <c r="J89" s="219">
        <f t="shared" si="20"/>
        <v>342156.55135177524</v>
      </c>
      <c r="K89" s="882">
        <v>100489.63857760091</v>
      </c>
      <c r="L89" s="219">
        <f t="shared" si="13"/>
        <v>705753.07184072549</v>
      </c>
      <c r="M89" s="886">
        <v>0</v>
      </c>
      <c r="N89" s="219">
        <f>+'2-Incentive ROE'!K$40*'1-Project Rev Req'!M89/100*H89</f>
        <v>0</v>
      </c>
      <c r="O89" s="219">
        <f t="shared" si="21"/>
        <v>705753.07184072549</v>
      </c>
      <c r="P89" s="884">
        <v>0</v>
      </c>
      <c r="Q89" s="219">
        <f t="shared" si="18"/>
        <v>705753.07184072549</v>
      </c>
      <c r="R89" s="889">
        <f>+'3-Project True-up'!K41</f>
        <v>41827.012448451147</v>
      </c>
      <c r="S89" s="884">
        <f t="shared" si="22"/>
        <v>0</v>
      </c>
      <c r="T89" s="219">
        <f t="shared" si="7"/>
        <v>747580.08428917662</v>
      </c>
    </row>
    <row r="90" spans="1:20">
      <c r="A90" s="215" t="s">
        <v>754</v>
      </c>
      <c r="C90" s="1067" t="s">
        <v>1179</v>
      </c>
      <c r="D90" s="1068" t="s">
        <v>736</v>
      </c>
      <c r="E90" s="1069">
        <v>4315230.49</v>
      </c>
      <c r="F90" s="59">
        <f t="shared" si="0"/>
        <v>4.9407659052967033E-2</v>
      </c>
      <c r="G90" s="973">
        <f t="shared" si="19"/>
        <v>213205.43678488789</v>
      </c>
      <c r="H90" s="1069">
        <v>3061292.590286707</v>
      </c>
      <c r="I90" s="59">
        <f t="shared" si="3"/>
        <v>7.960961257069428E-2</v>
      </c>
      <c r="J90" s="219">
        <f t="shared" si="20"/>
        <v>243708.3170782619</v>
      </c>
      <c r="K90" s="882">
        <v>71575.892978799835</v>
      </c>
      <c r="L90" s="219">
        <f t="shared" si="13"/>
        <v>528489.64684194967</v>
      </c>
      <c r="M90" s="886">
        <v>0</v>
      </c>
      <c r="N90" s="219">
        <f>+'2-Incentive ROE'!K$40*'1-Project Rev Req'!M90/100*H90</f>
        <v>0</v>
      </c>
      <c r="O90" s="219">
        <f t="shared" si="21"/>
        <v>528489.64684194967</v>
      </c>
      <c r="P90" s="884">
        <v>0</v>
      </c>
      <c r="Q90" s="219">
        <f t="shared" si="18"/>
        <v>528489.64684194967</v>
      </c>
      <c r="R90" s="889">
        <f>+'3-Project True-up'!K42</f>
        <v>32811.839752418484</v>
      </c>
      <c r="S90" s="884">
        <f t="shared" si="22"/>
        <v>0</v>
      </c>
      <c r="T90" s="219">
        <f t="shared" si="7"/>
        <v>561301.48659436812</v>
      </c>
    </row>
    <row r="91" spans="1:20">
      <c r="A91" s="215" t="s">
        <v>755</v>
      </c>
      <c r="C91" s="1067" t="s">
        <v>1552</v>
      </c>
      <c r="D91" s="1068" t="s">
        <v>1553</v>
      </c>
      <c r="E91" s="1069">
        <v>13038203.109999999</v>
      </c>
      <c r="F91" s="59">
        <f t="shared" si="0"/>
        <v>4.9407659052967033E-2</v>
      </c>
      <c r="G91" s="973">
        <f t="shared" ref="G91:G92" si="23">E91*F91</f>
        <v>644187.09392221435</v>
      </c>
      <c r="H91" s="1069">
        <v>12872497.789198827</v>
      </c>
      <c r="I91" s="59">
        <f t="shared" si="3"/>
        <v>7.960961257069428E-2</v>
      </c>
      <c r="J91" s="219">
        <f t="shared" ref="J91" si="24">H91*I91</f>
        <v>1024774.5618152373</v>
      </c>
      <c r="K91" s="882">
        <v>300971.07576484303</v>
      </c>
      <c r="L91" s="219">
        <f t="shared" si="13"/>
        <v>1969932.7315022948</v>
      </c>
      <c r="M91" s="886">
        <v>0</v>
      </c>
      <c r="N91" s="219">
        <f>+'2-Incentive ROE'!K$40*'1-Project Rev Req'!M91/100*H91</f>
        <v>0</v>
      </c>
      <c r="O91" s="219">
        <f t="shared" ref="O91:O92" si="25">+L91+N91</f>
        <v>1969932.7315022948</v>
      </c>
      <c r="P91" s="884">
        <v>0</v>
      </c>
      <c r="Q91" s="219">
        <f t="shared" ref="Q91:Q92" si="26">+L91+N91-P91</f>
        <v>1969932.7315022948</v>
      </c>
      <c r="R91" s="889">
        <f>+'3-Project True-up'!K43</f>
        <v>-382965.19785105891</v>
      </c>
      <c r="S91" s="884">
        <f t="shared" ref="S91:S92" si="27">$S$64*Q91/$Q$95</f>
        <v>0</v>
      </c>
      <c r="T91" s="219">
        <f t="shared" si="7"/>
        <v>1586967.533651236</v>
      </c>
    </row>
    <row r="92" spans="1:20">
      <c r="A92" s="215" t="s">
        <v>1563</v>
      </c>
      <c r="C92" s="1067" t="s">
        <v>1564</v>
      </c>
      <c r="D92" s="1068" t="s">
        <v>1565</v>
      </c>
      <c r="E92" s="1069">
        <v>994895.31000000017</v>
      </c>
      <c r="F92" s="59">
        <f t="shared" si="0"/>
        <v>4.9407659052967033E-2</v>
      </c>
      <c r="G92" s="973">
        <f t="shared" si="23"/>
        <v>49155.448269875953</v>
      </c>
      <c r="H92" s="1069">
        <v>986513.92585846118</v>
      </c>
      <c r="I92" s="59">
        <f t="shared" si="3"/>
        <v>7.960961257069428E-2</v>
      </c>
      <c r="J92" s="219">
        <f t="shared" ref="J92" si="28">H92*I92</f>
        <v>78535.991433186718</v>
      </c>
      <c r="K92" s="882">
        <v>23065.621170411498</v>
      </c>
      <c r="L92" s="219">
        <f t="shared" si="13"/>
        <v>150757.06087347417</v>
      </c>
      <c r="M92" s="886">
        <v>0</v>
      </c>
      <c r="N92" s="219">
        <f>+'2-Incentive ROE'!K$40*'1-Project Rev Req'!M92/100*H92</f>
        <v>0</v>
      </c>
      <c r="O92" s="219">
        <f t="shared" si="25"/>
        <v>150757.06087347417</v>
      </c>
      <c r="P92" s="884">
        <v>0</v>
      </c>
      <c r="Q92" s="219">
        <f t="shared" si="26"/>
        <v>150757.06087347417</v>
      </c>
      <c r="R92" s="889">
        <f>+'3-Project True-up'!K44</f>
        <v>-44256.038186612372</v>
      </c>
      <c r="S92" s="884">
        <f t="shared" si="27"/>
        <v>0</v>
      </c>
      <c r="T92" s="219">
        <f t="shared" si="7"/>
        <v>106501.0226868618</v>
      </c>
    </row>
    <row r="93" spans="1:20">
      <c r="A93" s="222"/>
      <c r="C93" s="881"/>
      <c r="D93" s="881"/>
      <c r="E93" s="882"/>
      <c r="F93" s="59"/>
      <c r="G93" s="973"/>
      <c r="H93" s="882"/>
      <c r="I93" s="59"/>
      <c r="J93" s="219"/>
      <c r="K93" s="884"/>
      <c r="L93" s="219"/>
      <c r="M93" s="886"/>
      <c r="N93" s="219"/>
      <c r="O93" s="219"/>
      <c r="P93" s="884"/>
      <c r="Q93" s="219"/>
      <c r="R93" s="889"/>
      <c r="S93" s="884"/>
      <c r="T93" s="219"/>
    </row>
    <row r="94" spans="1:20">
      <c r="A94" s="223"/>
      <c r="B94" s="224"/>
      <c r="C94" s="883"/>
      <c r="D94" s="883"/>
      <c r="E94" s="883"/>
      <c r="F94" s="224"/>
      <c r="G94" s="974"/>
      <c r="H94" s="883"/>
      <c r="I94" s="224"/>
      <c r="J94" s="226"/>
      <c r="K94" s="885"/>
      <c r="L94" s="226"/>
      <c r="M94" s="887"/>
      <c r="N94" s="227"/>
      <c r="O94" s="227"/>
      <c r="P94" s="888"/>
      <c r="Q94" s="227"/>
      <c r="R94" s="890"/>
      <c r="S94" s="885"/>
      <c r="T94" s="226"/>
    </row>
    <row r="95" spans="1:20">
      <c r="A95" s="179" t="s">
        <v>243</v>
      </c>
      <c r="B95" s="185"/>
      <c r="C95" s="150" t="s">
        <v>166</v>
      </c>
      <c r="D95" s="150"/>
      <c r="E95" s="53">
        <f>SUM(E66:E94)</f>
        <v>1866599451.1883554</v>
      </c>
      <c r="F95" s="177"/>
      <c r="G95" s="155"/>
      <c r="H95" s="53">
        <f t="shared" ref="H95:S95" si="29">SUM(H66:H94)</f>
        <v>1303069687.1316867</v>
      </c>
      <c r="I95" s="155"/>
      <c r="J95" s="53">
        <f t="shared" si="29"/>
        <v>103736872.94516937</v>
      </c>
      <c r="K95" s="53">
        <f t="shared" si="29"/>
        <v>27499483.839612994</v>
      </c>
      <c r="L95" s="53">
        <f t="shared" si="29"/>
        <v>223460666.05755207</v>
      </c>
      <c r="M95" s="53"/>
      <c r="N95" s="53">
        <f t="shared" si="29"/>
        <v>0</v>
      </c>
      <c r="O95" s="53">
        <f t="shared" si="29"/>
        <v>223460666.05755207</v>
      </c>
      <c r="P95" s="53">
        <f t="shared" si="29"/>
        <v>0</v>
      </c>
      <c r="Q95" s="53">
        <f t="shared" si="29"/>
        <v>223460666.05755207</v>
      </c>
      <c r="R95" s="53">
        <f t="shared" si="29"/>
        <v>15965883.563938303</v>
      </c>
      <c r="S95" s="53">
        <f t="shared" si="29"/>
        <v>0</v>
      </c>
      <c r="T95" s="53">
        <f>SUM(T66:T94)</f>
        <v>32544070.210938133</v>
      </c>
    </row>
    <row r="96" spans="1:20">
      <c r="E96" s="53"/>
      <c r="F96" s="53"/>
      <c r="G96" s="53"/>
      <c r="H96" s="53"/>
      <c r="I96" s="53"/>
      <c r="J96" s="53"/>
      <c r="K96" s="53"/>
      <c r="L96" s="59"/>
    </row>
    <row r="97" spans="1:17">
      <c r="A97" s="228"/>
      <c r="E97" s="53"/>
      <c r="F97" s="53"/>
      <c r="G97" s="53"/>
      <c r="H97" s="53"/>
      <c r="I97" s="53"/>
      <c r="J97" s="53"/>
      <c r="K97" s="53"/>
      <c r="L97" s="59"/>
      <c r="M97" s="189"/>
      <c r="N97" s="189"/>
      <c r="O97" s="189"/>
    </row>
    <row r="98" spans="1:17">
      <c r="K98" s="185"/>
      <c r="L98" s="185"/>
      <c r="M98" s="185"/>
      <c r="N98" s="185"/>
      <c r="O98" s="185"/>
    </row>
    <row r="99" spans="1:17">
      <c r="K99" s="185"/>
      <c r="L99" s="185"/>
      <c r="M99" s="185"/>
      <c r="N99" s="185"/>
      <c r="O99" s="185"/>
    </row>
    <row r="101" spans="1:17" ht="13.5" thickBot="1">
      <c r="A101" s="229" t="s">
        <v>182</v>
      </c>
    </row>
    <row r="102" spans="1:17">
      <c r="A102" s="230" t="s">
        <v>58</v>
      </c>
      <c r="C102" s="1109" t="s">
        <v>374</v>
      </c>
      <c r="D102" s="1109"/>
      <c r="E102" s="1109"/>
      <c r="F102" s="1109"/>
      <c r="G102" s="1109"/>
      <c r="H102" s="1109"/>
      <c r="I102" s="1109"/>
      <c r="J102" s="1109"/>
      <c r="K102" s="1109"/>
      <c r="L102" s="1109"/>
      <c r="M102" s="1109"/>
      <c r="N102" s="1109"/>
      <c r="O102" s="1109"/>
      <c r="P102" s="1109"/>
      <c r="Q102" s="1109"/>
    </row>
    <row r="103" spans="1:17">
      <c r="A103" s="230" t="s">
        <v>59</v>
      </c>
      <c r="C103" s="1109" t="s">
        <v>357</v>
      </c>
      <c r="D103" s="1109"/>
      <c r="E103" s="1109"/>
      <c r="F103" s="1109"/>
      <c r="G103" s="1109"/>
      <c r="H103" s="1109"/>
      <c r="I103" s="1109"/>
      <c r="J103" s="1109"/>
      <c r="K103" s="1109"/>
      <c r="L103" s="1109"/>
      <c r="M103" s="1109"/>
      <c r="N103" s="1109"/>
      <c r="O103" s="1109"/>
      <c r="P103" s="1109"/>
      <c r="Q103" s="1109"/>
    </row>
    <row r="104" spans="1:17">
      <c r="A104" s="230" t="s">
        <v>60</v>
      </c>
      <c r="C104" s="1110" t="s">
        <v>364</v>
      </c>
      <c r="D104" s="1110"/>
      <c r="E104" s="1110"/>
      <c r="F104" s="1110"/>
      <c r="G104" s="1110"/>
      <c r="H104" s="1110"/>
      <c r="I104" s="1110"/>
      <c r="J104" s="1110"/>
      <c r="K104" s="1110"/>
      <c r="L104" s="1110"/>
      <c r="M104" s="1110"/>
      <c r="N104" s="1110"/>
      <c r="O104" s="1110"/>
      <c r="P104" s="1110"/>
      <c r="Q104" s="1110"/>
    </row>
    <row r="105" spans="1:17">
      <c r="C105" s="148" t="s">
        <v>358</v>
      </c>
    </row>
    <row r="106" spans="1:17">
      <c r="A106" s="230" t="s">
        <v>61</v>
      </c>
      <c r="C106" s="1110" t="s">
        <v>1084</v>
      </c>
      <c r="D106" s="1110"/>
      <c r="E106" s="1110"/>
      <c r="F106" s="1110"/>
      <c r="G106" s="1110"/>
      <c r="H106" s="1110"/>
      <c r="I106" s="1110"/>
      <c r="J106" s="1110"/>
      <c r="K106" s="1110"/>
      <c r="L106" s="1110"/>
      <c r="M106" s="1110"/>
      <c r="N106" s="1110"/>
      <c r="O106" s="1110"/>
      <c r="P106" s="1110"/>
      <c r="Q106" s="1110"/>
    </row>
    <row r="107" spans="1:17">
      <c r="A107" s="177" t="s">
        <v>62</v>
      </c>
      <c r="C107" s="1108" t="s">
        <v>889</v>
      </c>
      <c r="D107" s="1108"/>
      <c r="E107" s="1108"/>
      <c r="F107" s="1108"/>
      <c r="G107" s="1108"/>
      <c r="H107" s="1108"/>
      <c r="I107" s="1108"/>
      <c r="J107" s="1108"/>
      <c r="K107" s="1108"/>
      <c r="L107" s="1108"/>
      <c r="M107" s="1108"/>
      <c r="N107" s="1108"/>
      <c r="O107" s="1108"/>
      <c r="P107" s="1108"/>
      <c r="Q107" s="1108"/>
    </row>
    <row r="108" spans="1:17">
      <c r="A108" s="177" t="s">
        <v>63</v>
      </c>
      <c r="C108" s="1108" t="s">
        <v>1319</v>
      </c>
      <c r="D108" s="1108"/>
      <c r="E108" s="1108"/>
      <c r="F108" s="1108"/>
      <c r="G108" s="1108"/>
      <c r="H108" s="1108"/>
      <c r="I108" s="1108"/>
      <c r="J108" s="1108"/>
      <c r="K108" s="1108"/>
      <c r="L108" s="1108"/>
      <c r="M108" s="1108"/>
      <c r="N108" s="1108"/>
      <c r="O108" s="1108"/>
      <c r="P108" s="1108"/>
      <c r="Q108" s="1108"/>
    </row>
    <row r="109" spans="1:17">
      <c r="A109" s="177" t="s">
        <v>64</v>
      </c>
      <c r="C109" s="1108" t="s">
        <v>1320</v>
      </c>
      <c r="D109" s="1108"/>
      <c r="E109" s="1108"/>
      <c r="F109" s="1108"/>
      <c r="G109" s="1108"/>
      <c r="H109" s="1108"/>
      <c r="I109" s="1108"/>
      <c r="J109" s="1108"/>
      <c r="K109" s="1108"/>
      <c r="L109" s="1108"/>
      <c r="M109" s="1108"/>
      <c r="N109" s="1108"/>
      <c r="O109" s="1108"/>
      <c r="P109" s="1108"/>
      <c r="Q109" s="1108"/>
    </row>
    <row r="110" spans="1:17">
      <c r="A110" s="177" t="s">
        <v>65</v>
      </c>
      <c r="C110" s="1108" t="s">
        <v>375</v>
      </c>
      <c r="D110" s="1108"/>
      <c r="E110" s="1108"/>
      <c r="F110" s="1108"/>
      <c r="G110" s="1108"/>
      <c r="H110" s="1108"/>
      <c r="I110" s="1108"/>
      <c r="J110" s="1108"/>
      <c r="K110" s="1108"/>
      <c r="L110" s="1108"/>
      <c r="M110" s="1108"/>
      <c r="N110" s="1108"/>
      <c r="O110" s="1108"/>
      <c r="P110" s="1108"/>
      <c r="Q110" s="1108"/>
    </row>
    <row r="111" spans="1:17">
      <c r="A111" s="177" t="s">
        <v>66</v>
      </c>
      <c r="C111" s="148" t="s">
        <v>315</v>
      </c>
    </row>
    <row r="112" spans="1:17">
      <c r="A112" s="160" t="s">
        <v>67</v>
      </c>
      <c r="C112" s="148" t="s">
        <v>429</v>
      </c>
      <c r="P112" s="155"/>
      <c r="Q112" s="192"/>
    </row>
    <row r="113" spans="1:17">
      <c r="A113" s="160" t="s">
        <v>99</v>
      </c>
      <c r="C113" s="148" t="s">
        <v>311</v>
      </c>
      <c r="D113" s="160"/>
      <c r="E113" s="177"/>
      <c r="F113" s="177"/>
      <c r="G113" s="155"/>
      <c r="J113" s="175"/>
      <c r="P113" s="155"/>
      <c r="Q113" s="172"/>
    </row>
    <row r="114" spans="1:17">
      <c r="A114" s="177" t="s">
        <v>117</v>
      </c>
      <c r="C114" s="21" t="s">
        <v>1056</v>
      </c>
      <c r="G114" s="231"/>
    </row>
    <row r="115" spans="1:17">
      <c r="A115" s="177" t="s">
        <v>406</v>
      </c>
      <c r="C115" s="148" t="s">
        <v>407</v>
      </c>
      <c r="K115" s="231"/>
    </row>
    <row r="116" spans="1:17">
      <c r="A116" s="177" t="s">
        <v>120</v>
      </c>
      <c r="C116" s="148" t="s">
        <v>410</v>
      </c>
    </row>
    <row r="117" spans="1:17">
      <c r="C117" s="148" t="s">
        <v>408</v>
      </c>
    </row>
    <row r="118" spans="1:17">
      <c r="A118" s="177" t="s">
        <v>121</v>
      </c>
      <c r="C118" s="1107" t="s">
        <v>767</v>
      </c>
      <c r="D118" s="1107"/>
      <c r="E118" s="1107"/>
      <c r="F118" s="1107"/>
      <c r="G118" s="1107"/>
    </row>
    <row r="119" spans="1:17">
      <c r="A119" s="177" t="s">
        <v>122</v>
      </c>
      <c r="C119" s="1107" t="s">
        <v>1169</v>
      </c>
      <c r="D119" s="1107"/>
      <c r="E119" s="1107"/>
      <c r="F119" s="1107"/>
      <c r="G119" s="1107"/>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10">
    <mergeCell ref="C119:G119"/>
    <mergeCell ref="C109:Q109"/>
    <mergeCell ref="C110:Q110"/>
    <mergeCell ref="C102:Q102"/>
    <mergeCell ref="C103:Q103"/>
    <mergeCell ref="C104:Q104"/>
    <mergeCell ref="C106:Q106"/>
    <mergeCell ref="C107:Q107"/>
    <mergeCell ref="C108:Q108"/>
    <mergeCell ref="C118:G118"/>
  </mergeCells>
  <phoneticPr fontId="0" type="noConversion"/>
  <pageMargins left="0.25" right="0.25" top="0.75" bottom="0.75" header="0.3" footer="0.3"/>
  <pageSetup scale="38" fitToHeight="2" orientation="landscape" r:id="rId2"/>
  <rowBreaks count="1" manualBreakCount="1">
    <brk id="51" max="19" man="1"/>
  </rowBreaks>
  <ignoredErrors>
    <ignoredError sqref="R68:S90 K93:K94 R67 R93:S9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68"/>
  <sheetViews>
    <sheetView view="pageBreakPreview" zoomScale="70" zoomScaleNormal="100" zoomScaleSheetLayoutView="70" workbookViewId="0">
      <selection activeCell="Q37" sqref="Q37"/>
    </sheetView>
  </sheetViews>
  <sheetFormatPr defaultColWidth="8.84375" defaultRowHeight="15.5"/>
  <cols>
    <col min="1" max="1" width="5.53515625" style="11" customWidth="1"/>
    <col min="2" max="2" width="21.53515625" style="7" customWidth="1"/>
    <col min="3" max="3" width="38.4609375" style="7" customWidth="1"/>
    <col min="4" max="4" width="25.07421875" style="7" customWidth="1"/>
    <col min="5" max="5" width="13.53515625" style="7" customWidth="1"/>
    <col min="6" max="6" width="6.53515625" style="7" customWidth="1"/>
    <col min="7" max="7" width="9" style="7" bestFit="1" customWidth="1"/>
    <col min="8" max="8" width="7.3046875" style="7" customWidth="1"/>
    <col min="9" max="9" width="9.53515625" style="7" customWidth="1"/>
    <col min="10" max="10" width="18" style="8" customWidth="1"/>
    <col min="11" max="11" width="19.53515625" style="7" customWidth="1"/>
    <col min="12" max="16384" width="8.84375" style="7"/>
  </cols>
  <sheetData>
    <row r="1" spans="1:11">
      <c r="A1" s="232"/>
      <c r="B1" s="16"/>
      <c r="C1" s="233"/>
      <c r="D1" s="233"/>
      <c r="E1" s="233"/>
      <c r="F1" s="234"/>
      <c r="G1" s="233"/>
      <c r="H1" s="233"/>
      <c r="I1" s="233"/>
      <c r="J1" s="235"/>
      <c r="K1" s="16"/>
    </row>
    <row r="2" spans="1:11">
      <c r="A2" s="232"/>
      <c r="B2" s="232"/>
      <c r="C2" s="233"/>
      <c r="D2" s="233"/>
      <c r="E2" s="233"/>
      <c r="F2" s="234"/>
      <c r="G2" s="233"/>
      <c r="H2" s="233"/>
      <c r="I2" s="233"/>
      <c r="J2" s="235"/>
      <c r="K2" s="16"/>
    </row>
    <row r="3" spans="1:11">
      <c r="A3" s="232"/>
      <c r="B3" s="16"/>
      <c r="C3" s="233"/>
      <c r="D3" s="236" t="s">
        <v>2</v>
      </c>
      <c r="E3" s="236"/>
      <c r="F3" s="234" t="s">
        <v>251</v>
      </c>
      <c r="G3" s="16"/>
      <c r="H3" s="236"/>
      <c r="I3" s="236"/>
      <c r="J3" s="237"/>
      <c r="K3" s="238" t="s">
        <v>419</v>
      </c>
    </row>
    <row r="4" spans="1:11">
      <c r="A4" s="239"/>
      <c r="B4" s="237"/>
      <c r="C4" s="237"/>
      <c r="D4" s="237"/>
      <c r="E4" s="237"/>
      <c r="F4" s="234" t="s">
        <v>316</v>
      </c>
      <c r="G4" s="16"/>
      <c r="H4" s="237"/>
      <c r="I4" s="237"/>
      <c r="J4" s="237"/>
      <c r="K4" s="238"/>
    </row>
    <row r="5" spans="1:11">
      <c r="A5" s="232"/>
      <c r="B5" s="237"/>
      <c r="C5" s="237"/>
      <c r="D5" s="237"/>
      <c r="E5" s="16"/>
      <c r="F5" s="240" t="str">
        <f>+'Attachment H-7'!D5</f>
        <v>PECO Energy Company</v>
      </c>
      <c r="G5" s="16"/>
      <c r="H5" s="237"/>
      <c r="I5" s="237"/>
      <c r="J5" s="237"/>
      <c r="K5" s="237"/>
    </row>
    <row r="6" spans="1:11">
      <c r="A6" s="232"/>
      <c r="B6" s="16"/>
      <c r="C6" s="16"/>
      <c r="D6" s="16"/>
      <c r="E6" s="16"/>
      <c r="F6" s="16"/>
      <c r="G6" s="16"/>
      <c r="H6" s="16"/>
      <c r="I6" s="16"/>
      <c r="J6" s="241"/>
      <c r="K6" s="16"/>
    </row>
    <row r="7" spans="1:11">
      <c r="A7" s="232">
        <v>1</v>
      </c>
      <c r="B7" s="16" t="s">
        <v>304</v>
      </c>
      <c r="C7" s="16" t="s">
        <v>1049</v>
      </c>
      <c r="D7" s="16"/>
      <c r="E7" s="16"/>
      <c r="F7" s="16"/>
      <c r="G7" s="16"/>
      <c r="H7" s="16"/>
      <c r="I7" s="16"/>
      <c r="J7" s="16"/>
      <c r="K7" s="232">
        <f>+'Attachment H-7'!I101</f>
        <v>1144034174.5983319</v>
      </c>
    </row>
    <row r="8" spans="1:11">
      <c r="A8" s="232"/>
      <c r="B8" s="16"/>
      <c r="C8" s="16"/>
      <c r="D8" s="16"/>
      <c r="E8" s="16"/>
      <c r="F8" s="16"/>
      <c r="G8" s="16"/>
      <c r="H8" s="16"/>
      <c r="I8" s="16"/>
      <c r="J8" s="16"/>
      <c r="K8" s="241"/>
    </row>
    <row r="9" spans="1:11" ht="16" thickBot="1">
      <c r="A9" s="242">
        <f>+A7+1</f>
        <v>2</v>
      </c>
      <c r="B9" s="243" t="s">
        <v>252</v>
      </c>
      <c r="C9" s="244"/>
      <c r="D9" s="244"/>
      <c r="E9" s="244"/>
      <c r="F9" s="244"/>
      <c r="G9" s="244"/>
      <c r="H9" s="244"/>
      <c r="I9" s="244"/>
      <c r="J9" s="245" t="s">
        <v>44</v>
      </c>
      <c r="K9" s="241"/>
    </row>
    <row r="10" spans="1:11">
      <c r="A10" s="242"/>
      <c r="B10" s="243"/>
      <c r="C10" s="244"/>
      <c r="D10" s="244"/>
      <c r="E10" s="244"/>
      <c r="F10" s="244"/>
      <c r="G10" s="244"/>
      <c r="H10" s="246" t="s">
        <v>52</v>
      </c>
      <c r="I10" s="244"/>
      <c r="J10" s="244"/>
      <c r="K10" s="241"/>
    </row>
    <row r="11" spans="1:11" ht="16" thickBot="1">
      <c r="A11" s="242"/>
      <c r="B11" s="243"/>
      <c r="C11" s="244"/>
      <c r="D11" s="244"/>
      <c r="E11" s="247" t="s">
        <v>44</v>
      </c>
      <c r="F11" s="247" t="s">
        <v>53</v>
      </c>
      <c r="G11" s="244"/>
      <c r="H11" s="247"/>
      <c r="I11" s="244"/>
      <c r="J11" s="247" t="s">
        <v>54</v>
      </c>
      <c r="K11" s="241"/>
    </row>
    <row r="12" spans="1:11">
      <c r="A12" s="242">
        <f>+A9+1</f>
        <v>3</v>
      </c>
      <c r="B12" s="243" t="s">
        <v>235</v>
      </c>
      <c r="C12" s="248" t="s">
        <v>1047</v>
      </c>
      <c r="D12" s="248"/>
      <c r="E12" s="249">
        <f>+'Attachment H-7'!D203</f>
        <v>4295957070.5384617</v>
      </c>
      <c r="F12" s="250">
        <f>+'Attachment H-7'!E203</f>
        <v>0.46705476368725796</v>
      </c>
      <c r="G12" s="251"/>
      <c r="H12" s="252">
        <f>+'Attachment H-7'!G203</f>
        <v>3.8284309624021767E-2</v>
      </c>
      <c r="I12" s="251"/>
      <c r="J12" s="253">
        <f>F12*H12</f>
        <v>1.7880869184377302E-2</v>
      </c>
      <c r="K12" s="241"/>
    </row>
    <row r="13" spans="1:11">
      <c r="A13" s="242">
        <f>+A12+1</f>
        <v>4</v>
      </c>
      <c r="B13" s="243" t="s">
        <v>305</v>
      </c>
      <c r="C13" s="248" t="s">
        <v>1047</v>
      </c>
      <c r="D13" s="248"/>
      <c r="E13" s="249">
        <f>+'Attachment H-7'!D204</f>
        <v>0</v>
      </c>
      <c r="F13" s="250">
        <f>+'Attachment H-7'!E204</f>
        <v>0</v>
      </c>
      <c r="G13" s="251"/>
      <c r="H13" s="252">
        <f>+'Attachment H-7'!G204</f>
        <v>0</v>
      </c>
      <c r="I13" s="251"/>
      <c r="J13" s="253">
        <f>F13*H13</f>
        <v>0</v>
      </c>
      <c r="K13" s="241"/>
    </row>
    <row r="14" spans="1:11" ht="31.5" thickBot="1">
      <c r="A14" s="249">
        <f>+A13+1</f>
        <v>5</v>
      </c>
      <c r="B14" s="243" t="s">
        <v>279</v>
      </c>
      <c r="C14" s="248" t="s">
        <v>1048</v>
      </c>
      <c r="D14" s="254" t="s">
        <v>1060</v>
      </c>
      <c r="E14" s="249">
        <f>+'Attachment H-7'!D205</f>
        <v>4902015853.7138519</v>
      </c>
      <c r="F14" s="250">
        <f>+'Attachment H-7'!E205</f>
        <v>0.53294523631274204</v>
      </c>
      <c r="G14" s="251"/>
      <c r="H14" s="252">
        <f>+'Attachment H-7'!G205+0.01</f>
        <v>0.11349999999999999</v>
      </c>
      <c r="I14" s="251"/>
      <c r="J14" s="255">
        <f>F14*H14</f>
        <v>6.0489284321496216E-2</v>
      </c>
      <c r="K14" s="241"/>
    </row>
    <row r="15" spans="1:11">
      <c r="A15" s="242">
        <f>+A14+1</f>
        <v>6</v>
      </c>
      <c r="B15" s="243" t="s">
        <v>377</v>
      </c>
      <c r="C15" s="256"/>
      <c r="D15" s="256"/>
      <c r="E15" s="249">
        <f>SUM(E12:E14)</f>
        <v>9197972924.2523136</v>
      </c>
      <c r="F15" s="251" t="s">
        <v>2</v>
      </c>
      <c r="G15" s="251"/>
      <c r="H15" s="251"/>
      <c r="I15" s="251"/>
      <c r="J15" s="253">
        <f>SUM(J12:J14)</f>
        <v>7.8370153505873522E-2</v>
      </c>
      <c r="K15" s="241"/>
    </row>
    <row r="16" spans="1:11">
      <c r="A16" s="242">
        <f t="shared" ref="A16:A40" si="0">+A15+1</f>
        <v>7</v>
      </c>
      <c r="B16" s="243" t="s">
        <v>259</v>
      </c>
      <c r="C16" s="256"/>
      <c r="D16" s="256"/>
      <c r="E16" s="257"/>
      <c r="F16" s="244"/>
      <c r="G16" s="244"/>
      <c r="H16" s="244"/>
      <c r="I16" s="244"/>
      <c r="J16" s="251"/>
      <c r="K16" s="251">
        <f>+J15*K7</f>
        <v>89658133.879236579</v>
      </c>
    </row>
    <row r="17" spans="1:11">
      <c r="A17" s="242"/>
      <c r="B17" s="16"/>
      <c r="C17" s="16"/>
      <c r="D17" s="16"/>
      <c r="E17" s="16"/>
      <c r="F17" s="16"/>
      <c r="G17" s="16"/>
      <c r="H17" s="16"/>
      <c r="I17" s="16"/>
      <c r="J17" s="16"/>
      <c r="K17" s="241"/>
    </row>
    <row r="18" spans="1:11">
      <c r="A18" s="242">
        <f>+A16+1</f>
        <v>8</v>
      </c>
      <c r="B18" s="243" t="s">
        <v>36</v>
      </c>
      <c r="C18" s="258"/>
      <c r="D18" s="258"/>
      <c r="E18" s="244"/>
      <c r="F18" s="244"/>
      <c r="G18" s="256"/>
      <c r="H18" s="259"/>
      <c r="I18" s="244"/>
      <c r="J18" s="256"/>
      <c r="K18" s="241"/>
    </row>
    <row r="19" spans="1:11">
      <c r="A19" s="242">
        <f t="shared" si="0"/>
        <v>9</v>
      </c>
      <c r="B19" s="260" t="s">
        <v>310</v>
      </c>
      <c r="C19" s="244"/>
      <c r="D19" s="4"/>
      <c r="E19" s="261">
        <f>IF('Attachment H-7'!D232&gt;0,1-(((1-'Attachment H-7'!D233)*(1-'Attachment H-7'!D232))/(1-'Attachment H-7'!D232*'Attachment H-7'!D233*'Attachment H-7'!D234)),0)</f>
        <v>0.28892099999999998</v>
      </c>
      <c r="F19" s="262"/>
      <c r="G19" s="256"/>
      <c r="H19" s="259"/>
      <c r="I19" s="244"/>
      <c r="J19" s="256"/>
      <c r="K19" s="241"/>
    </row>
    <row r="20" spans="1:11">
      <c r="A20" s="242">
        <f t="shared" si="0"/>
        <v>10</v>
      </c>
      <c r="B20" s="256" t="s">
        <v>37</v>
      </c>
      <c r="C20" s="244"/>
      <c r="D20" s="4"/>
      <c r="E20" s="261">
        <f>IF(J15&gt;0,(E19/(1-E19))*(1-J12/J15),0)</f>
        <v>0.31360935200733814</v>
      </c>
      <c r="F20" s="244"/>
      <c r="G20" s="256"/>
      <c r="H20" s="259"/>
      <c r="I20" s="244"/>
      <c r="J20" s="256"/>
      <c r="K20" s="241"/>
    </row>
    <row r="21" spans="1:11">
      <c r="A21" s="242">
        <f t="shared" si="0"/>
        <v>11</v>
      </c>
      <c r="B21" s="258" t="s">
        <v>306</v>
      </c>
      <c r="C21" s="258"/>
      <c r="D21" s="4"/>
      <c r="E21" s="244"/>
      <c r="F21" s="244"/>
      <c r="G21" s="256"/>
      <c r="H21" s="259"/>
      <c r="I21" s="244"/>
      <c r="J21" s="256"/>
      <c r="K21" s="241"/>
    </row>
    <row r="22" spans="1:11">
      <c r="A22" s="242">
        <f t="shared" si="0"/>
        <v>12</v>
      </c>
      <c r="B22" s="263" t="s">
        <v>307</v>
      </c>
      <c r="C22" s="258"/>
      <c r="D22" s="258"/>
      <c r="E22" s="244"/>
      <c r="F22" s="244"/>
      <c r="G22" s="256"/>
      <c r="H22" s="259"/>
      <c r="I22" s="244"/>
      <c r="J22" s="256"/>
      <c r="K22" s="241"/>
    </row>
    <row r="23" spans="1:11">
      <c r="A23" s="242">
        <f t="shared" si="0"/>
        <v>13</v>
      </c>
      <c r="B23" s="264" t="str">
        <f>"      1 / (1 - T)  =  (from line "&amp;A19&amp;")"</f>
        <v xml:space="preserve">      1 / (1 - T)  =  (from line 9)</v>
      </c>
      <c r="C23" s="258"/>
      <c r="D23" s="258"/>
      <c r="E23" s="262">
        <f>IF(E19&gt;0,1/(1-E19),0)</f>
        <v>1.4063135038441579</v>
      </c>
      <c r="F23" s="244"/>
      <c r="G23" s="256"/>
      <c r="H23" s="259"/>
      <c r="I23" s="244"/>
      <c r="J23" s="256"/>
      <c r="K23" s="241"/>
    </row>
    <row r="24" spans="1:11">
      <c r="A24" s="242">
        <f t="shared" si="0"/>
        <v>14</v>
      </c>
      <c r="B24" s="263" t="s">
        <v>253</v>
      </c>
      <c r="C24" s="258"/>
      <c r="D24" s="258" t="s">
        <v>1050</v>
      </c>
      <c r="E24" s="265">
        <f>+'Attachment H-7'!D157</f>
        <v>-2445.5559139626312</v>
      </c>
      <c r="F24" s="244"/>
      <c r="G24" s="256"/>
      <c r="H24" s="259"/>
      <c r="I24" s="244"/>
      <c r="J24" s="256"/>
      <c r="K24" s="241"/>
    </row>
    <row r="25" spans="1:11">
      <c r="A25" s="242">
        <f t="shared" si="0"/>
        <v>15</v>
      </c>
      <c r="B25" s="263" t="s">
        <v>254</v>
      </c>
      <c r="C25" s="258"/>
      <c r="D25" s="258" t="s">
        <v>1051</v>
      </c>
      <c r="E25" s="265">
        <f>+'Attachment H-7'!D158</f>
        <v>-3680787.9852743056</v>
      </c>
      <c r="F25" s="244"/>
      <c r="G25" s="256"/>
      <c r="H25" s="266"/>
      <c r="I25" s="244"/>
      <c r="J25" s="256"/>
      <c r="K25" s="241"/>
    </row>
    <row r="26" spans="1:11">
      <c r="A26" s="242">
        <f t="shared" si="0"/>
        <v>16</v>
      </c>
      <c r="B26" s="263" t="s">
        <v>308</v>
      </c>
      <c r="C26" s="258"/>
      <c r="D26" s="258" t="s">
        <v>1052</v>
      </c>
      <c r="E26" s="265">
        <f>+'Attachment H-7'!D159</f>
        <v>582871.92757483781</v>
      </c>
      <c r="F26" s="244"/>
      <c r="G26" s="256"/>
      <c r="H26" s="259"/>
      <c r="I26" s="244"/>
      <c r="J26" s="256"/>
      <c r="K26" s="241"/>
    </row>
    <row r="27" spans="1:11">
      <c r="A27" s="242">
        <f t="shared" si="0"/>
        <v>17</v>
      </c>
      <c r="B27" s="264" t="str">
        <f>"Income Tax Calculation = line "&amp;A20&amp;" * line "&amp;A16&amp;""</f>
        <v>Income Tax Calculation = line 10 * line 7</v>
      </c>
      <c r="C27" s="267"/>
      <c r="D27" s="16"/>
      <c r="E27" s="268">
        <f>+E20*K16</f>
        <v>28117629.268054552</v>
      </c>
      <c r="F27" s="269"/>
      <c r="G27" s="269" t="s">
        <v>22</v>
      </c>
      <c r="H27" s="270"/>
      <c r="I27" s="269"/>
      <c r="J27" s="268">
        <f>+E20*K16</f>
        <v>28117629.268054552</v>
      </c>
      <c r="K27" s="241"/>
    </row>
    <row r="28" spans="1:11">
      <c r="A28" s="242">
        <f t="shared" si="0"/>
        <v>18</v>
      </c>
      <c r="B28" s="248" t="str">
        <f>"ITC adjustment (line "&amp;A23&amp;" * line "&amp;A24&amp;")"</f>
        <v>ITC adjustment (line 13 * line 14)</v>
      </c>
      <c r="C28" s="267"/>
      <c r="D28" s="267"/>
      <c r="E28" s="268">
        <f>+E$23*E24</f>
        <v>-3439.2183062115896</v>
      </c>
      <c r="F28" s="269"/>
      <c r="G28" s="271" t="s">
        <v>15</v>
      </c>
      <c r="H28" s="253">
        <v>1</v>
      </c>
      <c r="I28" s="269"/>
      <c r="J28" s="268">
        <f>+E28*H28</f>
        <v>-3439.2183062115896</v>
      </c>
      <c r="K28" s="241"/>
    </row>
    <row r="29" spans="1:11">
      <c r="A29" s="242">
        <f t="shared" si="0"/>
        <v>19</v>
      </c>
      <c r="B29" s="248" t="str">
        <f>"Excess Deferred Income Tax Adjustment (line "&amp;A23&amp;" * line "&amp;A25&amp;")"</f>
        <v>Excess Deferred Income Tax Adjustment (line 13 * line 15)</v>
      </c>
      <c r="C29" s="267"/>
      <c r="D29" s="267"/>
      <c r="E29" s="268">
        <f>+E$23*E25</f>
        <v>-5176341.8484785873</v>
      </c>
      <c r="F29" s="269"/>
      <c r="G29" s="271" t="s">
        <v>15</v>
      </c>
      <c r="H29" s="253">
        <f>H28</f>
        <v>1</v>
      </c>
      <c r="I29" s="269"/>
      <c r="J29" s="268">
        <f>+E29*H29</f>
        <v>-5176341.8484785873</v>
      </c>
      <c r="K29" s="241"/>
    </row>
    <row r="30" spans="1:11">
      <c r="A30" s="242">
        <f t="shared" si="0"/>
        <v>20</v>
      </c>
      <c r="B30" s="248" t="str">
        <f>"Permanent Differences Tax Adjustment (line "&amp;A23&amp;" * "&amp;A26&amp;")"</f>
        <v>Permanent Differences Tax Adjustment (line 13 * 16)</v>
      </c>
      <c r="C30" s="267"/>
      <c r="D30" s="267"/>
      <c r="E30" s="272">
        <f>+E$23*E26</f>
        <v>819700.66276016843</v>
      </c>
      <c r="F30" s="269"/>
      <c r="G30" s="271" t="s">
        <v>15</v>
      </c>
      <c r="H30" s="253">
        <f>H29</f>
        <v>1</v>
      </c>
      <c r="I30" s="269"/>
      <c r="J30" s="272">
        <f>+E30*H30</f>
        <v>819700.66276016843</v>
      </c>
      <c r="K30" s="241"/>
    </row>
    <row r="31" spans="1:11">
      <c r="A31" s="242">
        <f t="shared" si="0"/>
        <v>21</v>
      </c>
      <c r="B31" s="264" t="str">
        <f>"Total Income Taxes (sum lines "&amp;A27&amp;" - "&amp;A30&amp;")"</f>
        <v>Total Income Taxes (sum lines 17 - 20)</v>
      </c>
      <c r="C31" s="248"/>
      <c r="D31" s="248"/>
      <c r="E31" s="265">
        <f>SUM(E27:E30)</f>
        <v>23757548.864029922</v>
      </c>
      <c r="F31" s="269"/>
      <c r="G31" s="269" t="s">
        <v>2</v>
      </c>
      <c r="H31" s="270" t="s">
        <v>2</v>
      </c>
      <c r="I31" s="269"/>
      <c r="J31" s="265">
        <f>SUM(J27:J30)</f>
        <v>23757548.864029922</v>
      </c>
      <c r="K31" s="232">
        <f>+J31</f>
        <v>23757548.864029922</v>
      </c>
    </row>
    <row r="32" spans="1:11">
      <c r="A32" s="242"/>
      <c r="B32" s="16"/>
      <c r="C32" s="16"/>
      <c r="D32" s="16"/>
      <c r="E32" s="16"/>
      <c r="F32" s="16"/>
      <c r="G32" s="16"/>
      <c r="H32" s="16"/>
      <c r="I32" s="16"/>
      <c r="J32" s="16"/>
      <c r="K32" s="273"/>
    </row>
    <row r="33" spans="1:11">
      <c r="A33" s="242">
        <f>+A31+1</f>
        <v>22</v>
      </c>
      <c r="B33" s="248" t="s">
        <v>255</v>
      </c>
      <c r="C33" s="16"/>
      <c r="D33" s="16" t="s">
        <v>431</v>
      </c>
      <c r="E33" s="16"/>
      <c r="F33" s="16"/>
      <c r="G33" s="16"/>
      <c r="H33" s="16"/>
      <c r="I33" s="16"/>
      <c r="J33" s="16"/>
      <c r="K33" s="232">
        <f>+K31+K16</f>
        <v>113415682.74326649</v>
      </c>
    </row>
    <row r="34" spans="1:11">
      <c r="A34" s="242"/>
      <c r="B34" s="16"/>
      <c r="C34" s="16"/>
      <c r="D34" s="16"/>
      <c r="E34" s="16"/>
      <c r="F34" s="16"/>
      <c r="G34" s="16"/>
      <c r="H34" s="16"/>
      <c r="I34" s="16"/>
      <c r="J34" s="16"/>
      <c r="K34" s="273"/>
    </row>
    <row r="35" spans="1:11">
      <c r="A35" s="242">
        <f>+A33+1</f>
        <v>23</v>
      </c>
      <c r="B35" s="16" t="s">
        <v>1054</v>
      </c>
      <c r="C35" s="16"/>
      <c r="D35" s="16"/>
      <c r="E35" s="16"/>
      <c r="F35" s="16"/>
      <c r="G35" s="16"/>
      <c r="H35" s="16"/>
      <c r="I35" s="16"/>
      <c r="J35" s="16"/>
      <c r="K35" s="232">
        <f>+'Attachment H-7'!I167</f>
        <v>83561058.243924975</v>
      </c>
    </row>
    <row r="36" spans="1:11">
      <c r="A36" s="242">
        <f t="shared" si="0"/>
        <v>24</v>
      </c>
      <c r="B36" s="16" t="s">
        <v>1055</v>
      </c>
      <c r="C36" s="16"/>
      <c r="D36" s="16"/>
      <c r="E36" s="16"/>
      <c r="F36" s="16"/>
      <c r="G36" s="16"/>
      <c r="H36" s="16"/>
      <c r="I36" s="16"/>
      <c r="J36" s="16"/>
      <c r="K36" s="232">
        <f>+'Attachment H-7'!I164</f>
        <v>21280224.699443623</v>
      </c>
    </row>
    <row r="37" spans="1:11">
      <c r="A37" s="242">
        <f t="shared" si="0"/>
        <v>25</v>
      </c>
      <c r="B37" s="248" t="s">
        <v>256</v>
      </c>
      <c r="C37" s="16"/>
      <c r="D37" s="16" t="s">
        <v>432</v>
      </c>
      <c r="E37" s="16"/>
      <c r="F37" s="16"/>
      <c r="G37" s="16"/>
      <c r="H37" s="16"/>
      <c r="I37" s="16"/>
      <c r="J37" s="16"/>
      <c r="K37" s="274">
        <f>SUM(K35:K36)</f>
        <v>104841282.9433686</v>
      </c>
    </row>
    <row r="38" spans="1:11">
      <c r="A38" s="242">
        <f t="shared" si="0"/>
        <v>26</v>
      </c>
      <c r="B38" s="248" t="s">
        <v>257</v>
      </c>
      <c r="C38" s="16"/>
      <c r="D38" s="16" t="s">
        <v>433</v>
      </c>
      <c r="E38" s="16"/>
      <c r="F38" s="16"/>
      <c r="G38" s="16"/>
      <c r="H38" s="16"/>
      <c r="I38" s="16"/>
      <c r="J38" s="16"/>
      <c r="K38" s="232">
        <f>+K33-K37</f>
        <v>8574399.7998978943</v>
      </c>
    </row>
    <row r="39" spans="1:11">
      <c r="A39" s="242">
        <f t="shared" si="0"/>
        <v>27</v>
      </c>
      <c r="B39" s="16" t="s">
        <v>309</v>
      </c>
      <c r="C39" s="16"/>
      <c r="D39" s="16"/>
      <c r="E39" s="16"/>
      <c r="F39" s="16"/>
      <c r="G39" s="16"/>
      <c r="H39" s="16"/>
      <c r="I39" s="16"/>
      <c r="J39" s="16"/>
      <c r="K39" s="275">
        <f>+K7</f>
        <v>1144034174.5983319</v>
      </c>
    </row>
    <row r="40" spans="1:11">
      <c r="A40" s="242">
        <f t="shared" si="0"/>
        <v>28</v>
      </c>
      <c r="B40" s="16" t="s">
        <v>258</v>
      </c>
      <c r="C40" s="16"/>
      <c r="D40" s="16"/>
      <c r="E40" s="16" t="s">
        <v>434</v>
      </c>
      <c r="F40" s="16"/>
      <c r="G40" s="16"/>
      <c r="H40" s="16"/>
      <c r="I40" s="16"/>
      <c r="J40" s="16"/>
      <c r="K40" s="276">
        <f>IF(K39=0,0,K38/K39)</f>
        <v>7.4948808263602344E-3</v>
      </c>
    </row>
    <row r="41" spans="1:11">
      <c r="A41" s="232"/>
      <c r="B41" s="16"/>
      <c r="C41" s="16"/>
      <c r="D41" s="16"/>
      <c r="E41" s="16"/>
      <c r="F41" s="16"/>
      <c r="G41" s="16"/>
      <c r="H41" s="16"/>
      <c r="I41" s="16"/>
      <c r="J41" s="16"/>
      <c r="K41" s="241"/>
    </row>
    <row r="42" spans="1:11" ht="16" thickBot="1">
      <c r="A42" s="277" t="s">
        <v>288</v>
      </c>
      <c r="B42" s="16"/>
      <c r="C42" s="16"/>
      <c r="D42" s="16"/>
      <c r="E42" s="16"/>
      <c r="F42" s="16"/>
      <c r="G42" s="16"/>
      <c r="H42" s="16"/>
      <c r="I42" s="16"/>
      <c r="J42" s="16"/>
      <c r="K42" s="241"/>
    </row>
    <row r="43" spans="1:11">
      <c r="A43" s="242" t="s">
        <v>58</v>
      </c>
      <c r="B43" s="232" t="s">
        <v>287</v>
      </c>
      <c r="C43" s="16"/>
      <c r="D43" s="16"/>
      <c r="E43" s="16"/>
      <c r="F43" s="16"/>
      <c r="G43" s="16"/>
      <c r="H43" s="16"/>
      <c r="I43" s="16"/>
      <c r="J43" s="16"/>
      <c r="K43" s="241"/>
    </row>
    <row r="44" spans="1:11">
      <c r="A44" s="242"/>
      <c r="B44" s="16" t="s">
        <v>379</v>
      </c>
      <c r="C44" s="16"/>
      <c r="D44" s="16"/>
      <c r="E44" s="16"/>
      <c r="F44" s="16"/>
      <c r="G44" s="16"/>
      <c r="H44" s="16"/>
      <c r="I44" s="16"/>
      <c r="J44" s="16"/>
      <c r="K44" s="241"/>
    </row>
    <row r="45" spans="1:11">
      <c r="A45" s="242"/>
      <c r="B45" s="16" t="s">
        <v>290</v>
      </c>
      <c r="C45" s="16"/>
      <c r="D45" s="16"/>
      <c r="E45" s="16"/>
      <c r="F45" s="16"/>
      <c r="G45" s="16"/>
      <c r="H45" s="16"/>
      <c r="I45" s="16"/>
      <c r="J45" s="16"/>
      <c r="K45" s="241"/>
    </row>
    <row r="46" spans="1:11">
      <c r="A46" s="242"/>
      <c r="B46" s="16" t="s">
        <v>378</v>
      </c>
      <c r="C46" s="16"/>
      <c r="D46" s="16"/>
      <c r="E46" s="16"/>
      <c r="F46" s="16"/>
      <c r="G46" s="16"/>
      <c r="H46" s="16"/>
      <c r="I46" s="16"/>
      <c r="J46" s="16"/>
      <c r="K46" s="241"/>
    </row>
    <row r="47" spans="1:11">
      <c r="A47" s="242" t="s">
        <v>59</v>
      </c>
      <c r="B47" s="16" t="s">
        <v>289</v>
      </c>
      <c r="C47" s="16"/>
      <c r="D47" s="16"/>
      <c r="E47" s="16"/>
      <c r="F47" s="16"/>
      <c r="G47" s="16"/>
      <c r="H47" s="16"/>
      <c r="I47" s="16"/>
      <c r="J47" s="16"/>
      <c r="K47" s="241"/>
    </row>
    <row r="48" spans="1:11">
      <c r="A48" s="232"/>
      <c r="B48" s="16" t="s">
        <v>914</v>
      </c>
      <c r="C48" s="16"/>
      <c r="D48" s="16"/>
      <c r="E48" s="16"/>
      <c r="F48" s="16"/>
      <c r="G48" s="16"/>
      <c r="H48" s="16"/>
      <c r="I48" s="16"/>
      <c r="J48" s="16"/>
      <c r="K48" s="241"/>
    </row>
    <row r="68" ht="24" customHeight="1"/>
  </sheetData>
  <phoneticPr fontId="0" type="noConversion"/>
  <pageMargins left="0.7" right="0.7" top="0.75" bottom="0.75" header="0.3" footer="0.3"/>
  <pageSetup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78"/>
  <sheetViews>
    <sheetView view="pageBreakPreview" zoomScale="70" zoomScaleNormal="65" zoomScaleSheetLayoutView="70" workbookViewId="0">
      <selection activeCell="G33" sqref="G33"/>
    </sheetView>
  </sheetViews>
  <sheetFormatPr defaultColWidth="8.84375" defaultRowHeight="13"/>
  <cols>
    <col min="1" max="1" width="6" style="13" customWidth="1"/>
    <col min="2" max="2" width="37.53515625" style="13" customWidth="1"/>
    <col min="3" max="3" width="11.07421875" style="13" customWidth="1"/>
    <col min="4" max="4" width="18.69140625" style="13" customWidth="1"/>
    <col min="5" max="5" width="22.07421875" style="13" customWidth="1"/>
    <col min="6" max="6" width="15.07421875" style="13" customWidth="1"/>
    <col min="7" max="7" width="18.3046875" style="13" customWidth="1"/>
    <col min="8" max="8" width="14.4609375" style="13" customWidth="1"/>
    <col min="9" max="9" width="18.53515625" style="13" customWidth="1"/>
    <col min="10" max="10" width="13.84375" style="13" customWidth="1"/>
    <col min="11" max="11" width="14.4609375" style="13" customWidth="1"/>
    <col min="12" max="12" width="13.53515625" style="13" customWidth="1"/>
    <col min="13" max="13" width="9.53515625" style="13" bestFit="1" customWidth="1"/>
    <col min="14" max="16384" width="8.84375" style="13"/>
  </cols>
  <sheetData>
    <row r="1" spans="1:13">
      <c r="A1" s="148"/>
      <c r="B1" s="148"/>
      <c r="C1" s="148"/>
      <c r="D1" s="148"/>
      <c r="E1" s="148"/>
      <c r="F1" s="148"/>
      <c r="G1" s="148"/>
      <c r="H1" s="148"/>
      <c r="I1" s="148"/>
      <c r="J1" s="150" t="s">
        <v>419</v>
      </c>
      <c r="K1" s="148"/>
    </row>
    <row r="2" spans="1:13">
      <c r="A2" s="148"/>
      <c r="B2" s="148"/>
      <c r="C2" s="148"/>
      <c r="D2" s="148"/>
      <c r="E2" s="148"/>
      <c r="F2" s="148"/>
      <c r="G2" s="148"/>
      <c r="H2" s="148"/>
      <c r="I2" s="148"/>
      <c r="J2" s="148"/>
      <c r="K2" s="148"/>
    </row>
    <row r="3" spans="1:13">
      <c r="A3" s="148"/>
      <c r="B3" s="148"/>
      <c r="C3" s="148"/>
      <c r="D3" s="148"/>
      <c r="E3" s="148"/>
      <c r="F3" s="148"/>
      <c r="G3" s="148"/>
      <c r="H3" s="148"/>
      <c r="I3" s="148"/>
      <c r="J3" s="148"/>
      <c r="K3" s="148"/>
    </row>
    <row r="4" spans="1:13">
      <c r="A4" s="148"/>
      <c r="B4" s="148"/>
      <c r="C4" s="148"/>
      <c r="D4" s="148"/>
      <c r="E4" s="148"/>
      <c r="F4" s="148"/>
      <c r="G4" s="148"/>
      <c r="H4" s="148"/>
      <c r="I4" s="148"/>
      <c r="J4" s="148"/>
      <c r="K4" s="148"/>
    </row>
    <row r="5" spans="1:13">
      <c r="A5" s="278"/>
      <c r="B5" s="148"/>
      <c r="C5" s="148"/>
      <c r="D5" s="150"/>
      <c r="E5" s="151" t="s">
        <v>190</v>
      </c>
      <c r="F5" s="150"/>
      <c r="G5" s="150"/>
      <c r="H5" s="148"/>
      <c r="I5" s="150"/>
      <c r="J5" s="150"/>
      <c r="K5" s="150"/>
      <c r="L5" s="1"/>
    </row>
    <row r="6" spans="1:13">
      <c r="A6" s="278"/>
      <c r="B6" s="148"/>
      <c r="C6" s="148"/>
      <c r="D6" s="150"/>
      <c r="E6" s="279" t="s">
        <v>292</v>
      </c>
      <c r="F6" s="155"/>
      <c r="G6" s="155"/>
      <c r="H6" s="148"/>
      <c r="I6" s="155"/>
      <c r="J6" s="155"/>
      <c r="K6" s="155"/>
      <c r="L6" s="1"/>
    </row>
    <row r="7" spans="1:13">
      <c r="A7" s="278"/>
      <c r="B7" s="148"/>
      <c r="C7" s="152"/>
      <c r="D7" s="152"/>
      <c r="E7" s="24" t="str">
        <f>+'2-Incentive ROE'!F5</f>
        <v>PECO Energy Company</v>
      </c>
      <c r="F7" s="152"/>
      <c r="G7" s="152"/>
      <c r="H7" s="148"/>
      <c r="I7" s="152"/>
      <c r="J7" s="152"/>
      <c r="K7" s="152"/>
      <c r="L7" s="2"/>
    </row>
    <row r="8" spans="1:13">
      <c r="A8" s="278"/>
      <c r="B8" s="148"/>
      <c r="C8" s="148"/>
      <c r="D8" s="148"/>
      <c r="E8" s="165"/>
      <c r="F8" s="165"/>
      <c r="G8" s="165"/>
      <c r="H8" s="148"/>
      <c r="I8" s="152"/>
      <c r="J8" s="152"/>
      <c r="K8" s="152"/>
      <c r="L8" s="2"/>
    </row>
    <row r="9" spans="1:13">
      <c r="A9" s="280"/>
      <c r="B9" s="88"/>
      <c r="C9" s="88"/>
      <c r="D9" s="88"/>
      <c r="E9" s="88"/>
      <c r="F9" s="88"/>
      <c r="G9" s="88"/>
      <c r="H9" s="88"/>
      <c r="I9" s="88"/>
      <c r="J9" s="88"/>
      <c r="K9" s="281"/>
      <c r="L9" s="6"/>
    </row>
    <row r="10" spans="1:13">
      <c r="A10" s="280"/>
      <c r="B10" s="88"/>
      <c r="C10" s="88"/>
      <c r="D10" s="1114" t="s">
        <v>417</v>
      </c>
      <c r="E10" s="1115"/>
      <c r="F10" s="282"/>
      <c r="G10" s="283" t="s">
        <v>342</v>
      </c>
      <c r="H10" s="282"/>
      <c r="I10" s="284"/>
      <c r="J10" s="284"/>
      <c r="K10" s="285"/>
    </row>
    <row r="11" spans="1:13" ht="15.5">
      <c r="A11" s="280">
        <v>1</v>
      </c>
      <c r="B11" s="88" t="s">
        <v>416</v>
      </c>
      <c r="C11" s="88"/>
      <c r="D11" s="1116" t="s">
        <v>418</v>
      </c>
      <c r="E11" s="1117"/>
      <c r="F11" s="286" t="s">
        <v>380</v>
      </c>
      <c r="G11" s="287" t="s">
        <v>1200</v>
      </c>
      <c r="H11" s="288" t="s">
        <v>344</v>
      </c>
      <c r="I11" s="289"/>
      <c r="J11" s="289"/>
      <c r="K11" s="290"/>
    </row>
    <row r="12" spans="1:13">
      <c r="A12" s="280">
        <v>2</v>
      </c>
      <c r="B12" s="88"/>
      <c r="C12" s="88"/>
      <c r="D12" s="291"/>
      <c r="E12" s="291"/>
      <c r="F12" s="292"/>
      <c r="G12" s="293"/>
      <c r="H12" s="291"/>
      <c r="I12" s="291"/>
      <c r="J12" s="291"/>
      <c r="K12" s="282"/>
    </row>
    <row r="13" spans="1:13">
      <c r="A13" s="148"/>
      <c r="B13" s="294" t="s">
        <v>58</v>
      </c>
      <c r="C13" s="294" t="s">
        <v>59</v>
      </c>
      <c r="D13" s="287" t="s">
        <v>60</v>
      </c>
      <c r="E13" s="287" t="s">
        <v>61</v>
      </c>
      <c r="F13" s="283" t="s">
        <v>62</v>
      </c>
      <c r="G13" s="294" t="s">
        <v>63</v>
      </c>
      <c r="H13" s="295" t="s">
        <v>64</v>
      </c>
      <c r="I13" s="295" t="s">
        <v>65</v>
      </c>
      <c r="J13" s="295" t="s">
        <v>66</v>
      </c>
      <c r="K13" s="296" t="s">
        <v>67</v>
      </c>
      <c r="M13" s="14"/>
    </row>
    <row r="14" spans="1:13">
      <c r="A14" s="280"/>
      <c r="B14" s="291"/>
      <c r="C14" s="283"/>
      <c r="D14" s="283"/>
      <c r="E14" s="297" t="s">
        <v>381</v>
      </c>
      <c r="F14" s="283"/>
      <c r="G14" s="283"/>
      <c r="H14" s="291"/>
      <c r="I14" s="283"/>
      <c r="J14" s="291"/>
      <c r="K14" s="291"/>
    </row>
    <row r="15" spans="1:13">
      <c r="A15" s="280"/>
      <c r="B15" s="291"/>
      <c r="C15" s="283"/>
      <c r="D15" s="295" t="s">
        <v>412</v>
      </c>
      <c r="E15" s="296" t="s">
        <v>13</v>
      </c>
      <c r="F15" s="295" t="s">
        <v>347</v>
      </c>
      <c r="G15" s="295" t="s">
        <v>411</v>
      </c>
      <c r="H15" s="295" t="s">
        <v>345</v>
      </c>
      <c r="I15" s="295"/>
      <c r="J15" s="295" t="s">
        <v>297</v>
      </c>
      <c r="K15" s="295"/>
    </row>
    <row r="16" spans="1:13" ht="25.5" customHeight="1">
      <c r="A16" s="280"/>
      <c r="B16" s="1112" t="s">
        <v>426</v>
      </c>
      <c r="C16" s="1118" t="s">
        <v>699</v>
      </c>
      <c r="D16" s="295" t="s">
        <v>346</v>
      </c>
      <c r="E16" s="296" t="s">
        <v>382</v>
      </c>
      <c r="F16" s="295" t="s">
        <v>350</v>
      </c>
      <c r="G16" s="295" t="s">
        <v>346</v>
      </c>
      <c r="H16" s="295" t="s">
        <v>303</v>
      </c>
      <c r="I16" s="283" t="s">
        <v>365</v>
      </c>
      <c r="J16" s="295" t="s">
        <v>348</v>
      </c>
      <c r="K16" s="295" t="s">
        <v>383</v>
      </c>
    </row>
    <row r="17" spans="1:13" ht="15.5">
      <c r="A17" s="280"/>
      <c r="B17" s="1113"/>
      <c r="C17" s="1119"/>
      <c r="D17" s="287" t="s">
        <v>349</v>
      </c>
      <c r="E17" s="296" t="s">
        <v>343</v>
      </c>
      <c r="F17" s="298"/>
      <c r="G17" s="287" t="s">
        <v>384</v>
      </c>
      <c r="H17" s="287" t="s">
        <v>413</v>
      </c>
      <c r="I17" s="287" t="s">
        <v>385</v>
      </c>
      <c r="J17" s="287" t="s">
        <v>386</v>
      </c>
      <c r="K17" s="287" t="s">
        <v>414</v>
      </c>
    </row>
    <row r="18" spans="1:13">
      <c r="A18" s="280">
        <v>3</v>
      </c>
      <c r="B18" s="293" t="s">
        <v>447</v>
      </c>
      <c r="C18" s="293" t="s">
        <v>447</v>
      </c>
      <c r="D18" s="1071">
        <v>182494235.38700366</v>
      </c>
      <c r="E18" s="893">
        <f>IF(D$48=0,0,D18/D$48)</f>
        <v>0.85121430915458585</v>
      </c>
      <c r="F18" s="892">
        <v>156139904.24855101</v>
      </c>
      <c r="G18" s="320">
        <f>'[7]Attachment H-7'!$I$22</f>
        <v>169882992.42793986</v>
      </c>
      <c r="H18" s="892">
        <f>+G18-F18</f>
        <v>13743088.179388851</v>
      </c>
      <c r="I18" s="892">
        <v>-84900.070905863628</v>
      </c>
      <c r="J18" s="299">
        <f>+'6-True-Up Interest'!G41</f>
        <v>635105.74704445887</v>
      </c>
      <c r="K18" s="892">
        <f>+H18+J18+I18</f>
        <v>14293293.855527446</v>
      </c>
      <c r="M18" s="975"/>
    </row>
    <row r="19" spans="1:13">
      <c r="A19" s="215" t="s">
        <v>387</v>
      </c>
      <c r="B19" s="891" t="s">
        <v>1618</v>
      </c>
      <c r="C19" s="891" t="s">
        <v>720</v>
      </c>
      <c r="D19" s="1071">
        <v>4571032.8300099894</v>
      </c>
      <c r="E19" s="894">
        <f>IF(D$48=0,0,D19/D$48)</f>
        <v>2.1320829911523755E-2</v>
      </c>
      <c r="F19" s="892">
        <v>3732042.9105143715</v>
      </c>
      <c r="G19" s="320">
        <f>'[7]1-Project Rev Req'!Q67+'[7]1-Project Rev Req'!S67</f>
        <v>4552910.1245851945</v>
      </c>
      <c r="H19" s="892">
        <f t="shared" ref="H19:H44" si="0">+G19-F19</f>
        <v>820867.21407082304</v>
      </c>
      <c r="I19" s="892">
        <v>-2223.2095752420501</v>
      </c>
      <c r="J19" s="299">
        <f>+'6-True-Up Interest'!G42</f>
        <v>38066.946209044523</v>
      </c>
      <c r="K19" s="892">
        <f t="shared" ref="K19:K44" si="1">+H19+J19+I19</f>
        <v>856710.95070462557</v>
      </c>
      <c r="M19" s="975"/>
    </row>
    <row r="20" spans="1:13">
      <c r="A20" s="215" t="s">
        <v>388</v>
      </c>
      <c r="B20" s="891" t="s">
        <v>1619</v>
      </c>
      <c r="C20" s="891" t="s">
        <v>1620</v>
      </c>
      <c r="D20" s="1071">
        <v>2285516.4150049947</v>
      </c>
      <c r="E20" s="894">
        <f t="shared" ref="E20:E44" si="2">IF(D$48=0,0,D20/D$48)</f>
        <v>1.0660414955761878E-2</v>
      </c>
      <c r="F20" s="892">
        <v>2587929.7994503281</v>
      </c>
      <c r="G20" s="320">
        <f>'[7]1-Project Rev Req'!Q68+'[7]1-Project Rev Req'!S68</f>
        <v>2276455.0622925973</v>
      </c>
      <c r="H20" s="892">
        <f t="shared" si="0"/>
        <v>-311474.73715773085</v>
      </c>
      <c r="I20" s="892">
        <v>-1111.604787621025</v>
      </c>
      <c r="J20" s="299">
        <f>+'6-True-Up Interest'!G43</f>
        <v>-14535.264900458862</v>
      </c>
      <c r="K20" s="892">
        <f t="shared" si="1"/>
        <v>-327121.60684581072</v>
      </c>
      <c r="M20" s="975"/>
    </row>
    <row r="21" spans="1:13">
      <c r="A21" s="215" t="s">
        <v>389</v>
      </c>
      <c r="B21" s="891" t="s">
        <v>802</v>
      </c>
      <c r="C21" s="891" t="s">
        <v>722</v>
      </c>
      <c r="D21" s="1071">
        <v>670046.24574823526</v>
      </c>
      <c r="E21" s="894">
        <f t="shared" si="2"/>
        <v>3.1253203750063532E-3</v>
      </c>
      <c r="F21" s="892">
        <v>605264.13274187909</v>
      </c>
      <c r="G21" s="320">
        <f>'[7]1-Project Rev Req'!Q69+'[7]1-Project Rev Req'!S69</f>
        <v>667389.72342947987</v>
      </c>
      <c r="H21" s="892">
        <f t="shared" si="0"/>
        <v>62125.590687600779</v>
      </c>
      <c r="I21" s="892">
        <v>-327.04230680728926</v>
      </c>
      <c r="J21" s="299">
        <f>+'6-True-Up Interest'!G44</f>
        <v>2873.6324997068969</v>
      </c>
      <c r="K21" s="892">
        <f t="shared" si="1"/>
        <v>64672.180880500382</v>
      </c>
      <c r="M21" s="975"/>
    </row>
    <row r="22" spans="1:13">
      <c r="A22" s="215" t="s">
        <v>820</v>
      </c>
      <c r="B22" s="891" t="s">
        <v>802</v>
      </c>
      <c r="C22" s="891" t="s">
        <v>1555</v>
      </c>
      <c r="D22" s="1071">
        <v>223348.74858274512</v>
      </c>
      <c r="E22" s="894">
        <f t="shared" si="2"/>
        <v>1.0417734583354512E-3</v>
      </c>
      <c r="F22" s="892">
        <v>210719.50499935201</v>
      </c>
      <c r="G22" s="320">
        <f>'[7]1-Project Rev Req'!Q70+'[7]1-Project Rev Req'!S70</f>
        <v>222463.24114315998</v>
      </c>
      <c r="H22" s="892">
        <f t="shared" si="0"/>
        <v>11743.736143807968</v>
      </c>
      <c r="I22" s="892">
        <v>-109.01410226909643</v>
      </c>
      <c r="J22" s="299">
        <f>+'6-True-Up Interest'!G45</f>
        <v>541.01457493155749</v>
      </c>
      <c r="K22" s="892">
        <f t="shared" si="1"/>
        <v>12175.736616470429</v>
      </c>
      <c r="M22" s="975"/>
    </row>
    <row r="23" spans="1:13">
      <c r="A23" s="215" t="s">
        <v>821</v>
      </c>
      <c r="B23" s="891" t="s">
        <v>803</v>
      </c>
      <c r="C23" s="891" t="s">
        <v>723</v>
      </c>
      <c r="D23" s="1071">
        <v>433093.89435068856</v>
      </c>
      <c r="E23" s="894">
        <f t="shared" si="2"/>
        <v>2.020095151482491E-3</v>
      </c>
      <c r="F23" s="892">
        <v>401915.403789084</v>
      </c>
      <c r="G23" s="320">
        <f>'[7]1-Project Rev Req'!Q71+'[7]1-Project Rev Req'!S71</f>
        <v>431376.81347192841</v>
      </c>
      <c r="H23" s="892">
        <f t="shared" si="0"/>
        <v>29461.409682844416</v>
      </c>
      <c r="I23" s="892">
        <v>-210.66326342228376</v>
      </c>
      <c r="J23" s="299">
        <f>+'6-True-Up Interest'!G46</f>
        <v>1360.1597085031292</v>
      </c>
      <c r="K23" s="892">
        <f t="shared" si="1"/>
        <v>30610.90612792526</v>
      </c>
      <c r="M23" s="975"/>
    </row>
    <row r="24" spans="1:13">
      <c r="A24" s="215" t="s">
        <v>822</v>
      </c>
      <c r="B24" s="891" t="s">
        <v>804</v>
      </c>
      <c r="C24" s="891" t="s">
        <v>724</v>
      </c>
      <c r="D24" s="1071">
        <v>584090.89060792932</v>
      </c>
      <c r="E24" s="894">
        <f t="shared" si="2"/>
        <v>2.7243957754499162E-3</v>
      </c>
      <c r="F24" s="892">
        <v>541669.68097055971</v>
      </c>
      <c r="G24" s="320">
        <f>'[7]1-Project Rev Req'!Q72+'[7]1-Project Rev Req'!S72</f>
        <v>581775.15419879684</v>
      </c>
      <c r="H24" s="892">
        <f t="shared" si="0"/>
        <v>40105.473228237126</v>
      </c>
      <c r="I24" s="892">
        <v>-283.98341053506311</v>
      </c>
      <c r="J24" s="299">
        <f>+'6-True-Up Interest'!G47</f>
        <v>1851.6992765231462</v>
      </c>
      <c r="K24" s="892">
        <f t="shared" si="1"/>
        <v>41673.189094225214</v>
      </c>
      <c r="M24" s="975"/>
    </row>
    <row r="25" spans="1:13">
      <c r="A25" s="215" t="s">
        <v>823</v>
      </c>
      <c r="B25" s="891" t="s">
        <v>805</v>
      </c>
      <c r="C25" s="891" t="s">
        <v>1621</v>
      </c>
      <c r="D25" s="1071">
        <v>1931372.3790142071</v>
      </c>
      <c r="E25" s="894">
        <f t="shared" si="2"/>
        <v>9.0085684177172963E-3</v>
      </c>
      <c r="F25" s="892">
        <v>1790111.0561379862</v>
      </c>
      <c r="G25" s="320">
        <f>'[7]1-Project Rev Req'!Q73+'[7]1-Project Rev Req'!S73</f>
        <v>1923715.0958591474</v>
      </c>
      <c r="H25" s="892">
        <f t="shared" si="0"/>
        <v>133604.03972116113</v>
      </c>
      <c r="I25" s="892">
        <v>-941.60494749015947</v>
      </c>
      <c r="J25" s="299">
        <f>+'6-True-Up Interest'!G48</f>
        <v>6168.8032169757007</v>
      </c>
      <c r="K25" s="892">
        <f t="shared" si="1"/>
        <v>138831.23799064668</v>
      </c>
      <c r="M25" s="975"/>
    </row>
    <row r="26" spans="1:13">
      <c r="A26" s="215" t="s">
        <v>824</v>
      </c>
      <c r="B26" s="891" t="s">
        <v>883</v>
      </c>
      <c r="C26" s="891" t="s">
        <v>884</v>
      </c>
      <c r="D26" s="1071">
        <v>4382802.6467111623</v>
      </c>
      <c r="E26" s="894">
        <f t="shared" si="2"/>
        <v>2.0442861217888172E-2</v>
      </c>
      <c r="F26" s="892">
        <v>4177968.3597747311</v>
      </c>
      <c r="G26" s="320">
        <f>'[7]1-Project Rev Req'!Q74+'[7]1-Project Rev Req'!S74</f>
        <v>4365426.2146759573</v>
      </c>
      <c r="H26" s="892">
        <f t="shared" si="0"/>
        <v>187457.85490122624</v>
      </c>
      <c r="I26" s="892">
        <v>-2151.1565897311521</v>
      </c>
      <c r="J26" s="299">
        <f>+'6-True-Up Interest'!G49</f>
        <v>8616.7614714845204</v>
      </c>
      <c r="K26" s="892">
        <f t="shared" si="1"/>
        <v>193923.45978297963</v>
      </c>
      <c r="M26" s="975"/>
    </row>
    <row r="27" spans="1:13">
      <c r="A27" s="215" t="s">
        <v>825</v>
      </c>
      <c r="B27" s="891" t="s">
        <v>806</v>
      </c>
      <c r="C27" s="891" t="s">
        <v>725</v>
      </c>
      <c r="D27" s="1071">
        <v>2554838.0609095255</v>
      </c>
      <c r="E27" s="894">
        <f t="shared" si="2"/>
        <v>1.1916621423176284E-2</v>
      </c>
      <c r="F27" s="892">
        <v>2328984.4842031808</v>
      </c>
      <c r="G27" s="320">
        <f>'[7]1-Project Rev Req'!Q75+'[7]1-Project Rev Req'!S75</f>
        <v>2544708.9326998256</v>
      </c>
      <c r="H27" s="892">
        <f t="shared" si="0"/>
        <v>215724.44849664485</v>
      </c>
      <c r="I27" s="892">
        <v>-1246.5085115084148</v>
      </c>
      <c r="J27" s="299">
        <f>+'6-True-Up Interest'!G50</f>
        <v>9973.2242093088444</v>
      </c>
      <c r="K27" s="892">
        <f t="shared" si="1"/>
        <v>224451.1641944453</v>
      </c>
      <c r="M27" s="975"/>
    </row>
    <row r="28" spans="1:13" ht="12.75" customHeight="1">
      <c r="A28" s="215" t="s">
        <v>826</v>
      </c>
      <c r="B28" s="891" t="s">
        <v>807</v>
      </c>
      <c r="C28" s="891" t="s">
        <v>726</v>
      </c>
      <c r="D28" s="1071">
        <v>2401559.5132871578</v>
      </c>
      <c r="E28" s="894">
        <f t="shared" si="2"/>
        <v>1.120167887857532E-2</v>
      </c>
      <c r="F28" s="892">
        <v>2217594.3517482164</v>
      </c>
      <c r="G28" s="320">
        <f>'[7]1-Project Rev Req'!Q76+'[7]1-Project Rev Req'!S76</f>
        <v>2392038.0862403689</v>
      </c>
      <c r="H28" s="892">
        <f t="shared" si="0"/>
        <v>174443.73449215246</v>
      </c>
      <c r="I28" s="892">
        <v>-1171.0977076298248</v>
      </c>
      <c r="J28" s="299">
        <f>+'6-True-Up Interest'!G51</f>
        <v>8057.1776104803039</v>
      </c>
      <c r="K28" s="892">
        <f t="shared" si="1"/>
        <v>181329.81439500296</v>
      </c>
      <c r="M28" s="975"/>
    </row>
    <row r="29" spans="1:13">
      <c r="A29" s="215" t="s">
        <v>827</v>
      </c>
      <c r="B29" s="891" t="s">
        <v>808</v>
      </c>
      <c r="C29" s="891" t="s">
        <v>727</v>
      </c>
      <c r="D29" s="1071">
        <v>2478135.3418012322</v>
      </c>
      <c r="E29" s="894">
        <f t="shared" si="2"/>
        <v>1.1558854220735141E-2</v>
      </c>
      <c r="F29" s="892">
        <v>2295279.4433556977</v>
      </c>
      <c r="G29" s="320">
        <f>'[7]1-Project Rev Req'!Q77+'[7]1-Project Rev Req'!S77</f>
        <v>2468310.3157136072</v>
      </c>
      <c r="H29" s="892">
        <f t="shared" si="0"/>
        <v>173030.87235790957</v>
      </c>
      <c r="I29" s="892">
        <v>-1208.290096855229</v>
      </c>
      <c r="J29" s="299">
        <f>+'6-True-Up Interest'!G52</f>
        <v>7989.7500751390271</v>
      </c>
      <c r="K29" s="892">
        <f t="shared" si="1"/>
        <v>179812.33233619336</v>
      </c>
      <c r="M29" s="975"/>
    </row>
    <row r="30" spans="1:13">
      <c r="A30" s="215" t="s">
        <v>828</v>
      </c>
      <c r="B30" s="891" t="s">
        <v>809</v>
      </c>
      <c r="C30" s="891" t="s">
        <v>728</v>
      </c>
      <c r="D30" s="1071">
        <v>1594260.3930542315</v>
      </c>
      <c r="E30" s="894">
        <f t="shared" si="2"/>
        <v>7.43616507232874E-3</v>
      </c>
      <c r="F30" s="892">
        <v>1472988.6582431139</v>
      </c>
      <c r="G30" s="320">
        <f>'[7]1-Project Rev Req'!Q78+'[7]1-Project Rev Req'!S78</f>
        <v>1587939.6527427521</v>
      </c>
      <c r="H30" s="892">
        <f t="shared" si="0"/>
        <v>114950.99449963821</v>
      </c>
      <c r="I30" s="892">
        <v>-777.34386698559524</v>
      </c>
      <c r="J30" s="299">
        <f>+'6-True-Up Interest'!G53</f>
        <v>5309.0747544183469</v>
      </c>
      <c r="K30" s="892">
        <f t="shared" si="1"/>
        <v>119482.72538707095</v>
      </c>
      <c r="M30" s="975"/>
    </row>
    <row r="31" spans="1:13">
      <c r="A31" s="215" t="s">
        <v>829</v>
      </c>
      <c r="B31" s="891" t="s">
        <v>810</v>
      </c>
      <c r="C31" s="891" t="s">
        <v>729</v>
      </c>
      <c r="D31" s="1071">
        <v>1135669.807014484</v>
      </c>
      <c r="E31" s="894">
        <f t="shared" si="2"/>
        <v>5.2971448010702442E-3</v>
      </c>
      <c r="F31" s="892">
        <v>1052865.0055073283</v>
      </c>
      <c r="G31" s="320">
        <f>'[7]1-Project Rev Req'!Q79+'[7]1-Project Rev Req'!S79</f>
        <v>1131167.2339335743</v>
      </c>
      <c r="H31" s="892">
        <f t="shared" si="0"/>
        <v>78302.228426245973</v>
      </c>
      <c r="I31" s="892">
        <v>-552.84185177843324</v>
      </c>
      <c r="J31" s="299">
        <f>+'6-True-Up Interest'!G54</f>
        <v>3615.3464757127408</v>
      </c>
      <c r="K31" s="892">
        <f t="shared" si="1"/>
        <v>81364.733050180279</v>
      </c>
      <c r="M31" s="975"/>
    </row>
    <row r="32" spans="1:13">
      <c r="A32" s="215" t="s">
        <v>1559</v>
      </c>
      <c r="B32" s="891" t="s">
        <v>1622</v>
      </c>
      <c r="C32" s="891" t="s">
        <v>730</v>
      </c>
      <c r="D32" s="1071">
        <v>241317.80281313791</v>
      </c>
      <c r="E32" s="894">
        <f t="shared" si="2"/>
        <v>1.1255871527814641E-3</v>
      </c>
      <c r="F32" s="892">
        <v>224320.17717348158</v>
      </c>
      <c r="G32" s="320">
        <f>'[7]1-Project Rev Req'!Q80+'[7]1-Project Rev Req'!S80</f>
        <v>240361.05373327367</v>
      </c>
      <c r="H32" s="892">
        <f t="shared" si="0"/>
        <v>16040.876559792086</v>
      </c>
      <c r="I32" s="892">
        <v>-117.58960680828037</v>
      </c>
      <c r="J32" s="299">
        <f>+'6-True-Up Interest'!G55</f>
        <v>740.43284331374707</v>
      </c>
      <c r="K32" s="892">
        <f t="shared" si="1"/>
        <v>16663.719796297555</v>
      </c>
      <c r="M32" s="975"/>
    </row>
    <row r="33" spans="1:13">
      <c r="A33" s="215" t="s">
        <v>830</v>
      </c>
      <c r="B33" s="891" t="s">
        <v>812</v>
      </c>
      <c r="C33" s="891" t="s">
        <v>731</v>
      </c>
      <c r="D33" s="1071">
        <v>301018.31097264198</v>
      </c>
      <c r="E33" s="894">
        <f t="shared" si="2"/>
        <v>1.4040503420509976E-3</v>
      </c>
      <c r="F33" s="892">
        <v>279045.18741603574</v>
      </c>
      <c r="G33" s="320">
        <f>'[7]1-Project Rev Req'!Q81+'[7]1-Project Rev Req'!S81</f>
        <v>299824.86818189861</v>
      </c>
      <c r="H33" s="892">
        <f t="shared" si="0"/>
        <v>20779.680765862868</v>
      </c>
      <c r="I33" s="892">
        <v>-146.70738147877</v>
      </c>
      <c r="J33" s="299">
        <f>+'6-True-Up Interest'!G56</f>
        <v>959.43326237386066</v>
      </c>
      <c r="K33" s="892">
        <f t="shared" si="1"/>
        <v>21592.406646757958</v>
      </c>
      <c r="M33" s="975"/>
    </row>
    <row r="34" spans="1:13">
      <c r="A34" s="215" t="s">
        <v>831</v>
      </c>
      <c r="B34" s="891" t="s">
        <v>989</v>
      </c>
      <c r="C34" s="891" t="s">
        <v>732</v>
      </c>
      <c r="D34" s="1071">
        <v>337195.48148017237</v>
      </c>
      <c r="E34" s="894">
        <f t="shared" si="2"/>
        <v>1.5727927964930854E-3</v>
      </c>
      <c r="F34" s="892">
        <v>312458.52834524628</v>
      </c>
      <c r="G34" s="320">
        <f>'[7]1-Project Rev Req'!Q82+'[7]1-Project Rev Req'!S82</f>
        <v>335858.60760315327</v>
      </c>
      <c r="H34" s="892">
        <f t="shared" si="0"/>
        <v>23400.079257906997</v>
      </c>
      <c r="I34" s="892">
        <v>-164.23471772427078</v>
      </c>
      <c r="J34" s="299">
        <f>+'6-True-Up Interest'!G57</f>
        <v>1080.4667711184968</v>
      </c>
      <c r="K34" s="892">
        <f t="shared" si="1"/>
        <v>24316.311311301222</v>
      </c>
      <c r="M34" s="975"/>
    </row>
    <row r="35" spans="1:13">
      <c r="A35" s="215" t="s">
        <v>832</v>
      </c>
      <c r="B35" s="891" t="s">
        <v>811</v>
      </c>
      <c r="C35" s="891" t="s">
        <v>733</v>
      </c>
      <c r="D35" s="1071">
        <v>330415.5516934453</v>
      </c>
      <c r="E35" s="894">
        <f t="shared" si="2"/>
        <v>1.541168930471855E-3</v>
      </c>
      <c r="F35" s="892">
        <v>307083.51932020701</v>
      </c>
      <c r="G35" s="320">
        <f>'[7]1-Project Rev Req'!Q83+'[7]1-Project Rev Req'!S83</f>
        <v>329105.55810254422</v>
      </c>
      <c r="H35" s="892">
        <f t="shared" si="0"/>
        <v>22022.038782337215</v>
      </c>
      <c r="I35" s="892">
        <v>-160.97662183998176</v>
      </c>
      <c r="J35" s="299">
        <f>+'6-True-Up Interest'!G58</f>
        <v>1016.5393904631213</v>
      </c>
      <c r="K35" s="892">
        <f t="shared" si="1"/>
        <v>22877.601550960353</v>
      </c>
      <c r="M35" s="975"/>
    </row>
    <row r="36" spans="1:13">
      <c r="A36" s="215" t="s">
        <v>833</v>
      </c>
      <c r="B36" s="891" t="s">
        <v>813</v>
      </c>
      <c r="C36" s="891" t="s">
        <v>734</v>
      </c>
      <c r="D36" s="1071">
        <v>453435.34662314411</v>
      </c>
      <c r="E36" s="894">
        <f t="shared" si="2"/>
        <v>2.1149745059266499E-3</v>
      </c>
      <c r="F36" s="892">
        <v>419896.07124176185</v>
      </c>
      <c r="G36" s="320">
        <f>'[7]1-Project Rev Req'!Q84+'[7]1-Project Rev Req'!S84</f>
        <v>451637.61829310644</v>
      </c>
      <c r="H36" s="892">
        <f t="shared" si="0"/>
        <v>31741.547051344591</v>
      </c>
      <c r="I36" s="892">
        <v>-220.10991915387649</v>
      </c>
      <c r="J36" s="299">
        <f>+'6-True-Up Interest'!G59</f>
        <v>1465.7468266468682</v>
      </c>
      <c r="K36" s="892">
        <f t="shared" si="1"/>
        <v>32987.183958837588</v>
      </c>
      <c r="M36" s="975"/>
    </row>
    <row r="37" spans="1:13">
      <c r="A37" s="215" t="s">
        <v>834</v>
      </c>
      <c r="B37" s="891" t="s">
        <v>814</v>
      </c>
      <c r="C37" s="891" t="s">
        <v>735</v>
      </c>
      <c r="D37" s="1071">
        <v>610350.60993149399</v>
      </c>
      <c r="E37" s="894">
        <f t="shared" si="2"/>
        <v>2.8468799119772954E-3</v>
      </c>
      <c r="F37" s="892">
        <v>565514.81709177606</v>
      </c>
      <c r="G37" s="320">
        <f>'[7]1-Project Rev Req'!Q85+'[7]1-Project Rev Req'!S85</f>
        <v>607930.76200631331</v>
      </c>
      <c r="H37" s="892">
        <f t="shared" si="0"/>
        <v>42415.944914537249</v>
      </c>
      <c r="I37" s="892">
        <v>-296.43591233042332</v>
      </c>
      <c r="J37" s="299">
        <f>+'6-True-Up Interest'!G60</f>
        <v>1958.5571686026174</v>
      </c>
      <c r="K37" s="892">
        <f t="shared" si="1"/>
        <v>44078.066170809441</v>
      </c>
      <c r="M37" s="975"/>
    </row>
    <row r="38" spans="1:13">
      <c r="A38" s="215" t="s">
        <v>1554</v>
      </c>
      <c r="B38" s="891" t="s">
        <v>815</v>
      </c>
      <c r="C38" s="891" t="s">
        <v>737</v>
      </c>
      <c r="D38" s="1071">
        <v>345601.97684466001</v>
      </c>
      <c r="E38" s="894">
        <f t="shared" si="2"/>
        <v>1.612003509800927E-3</v>
      </c>
      <c r="F38" s="892">
        <v>320317.26159751276</v>
      </c>
      <c r="G38" s="320">
        <f>'[7]1-Project Rev Req'!Q86+'[7]1-Project Rev Req'!S86</f>
        <v>344231.77386132925</v>
      </c>
      <c r="H38" s="892">
        <f t="shared" si="0"/>
        <v>23914.51226381649</v>
      </c>
      <c r="I38" s="892">
        <v>-167.90372512199494</v>
      </c>
      <c r="J38" s="299">
        <f>+'6-True-Up Interest'!G61</f>
        <v>1104.2172970492941</v>
      </c>
      <c r="K38" s="892">
        <f t="shared" si="1"/>
        <v>24850.825835743788</v>
      </c>
      <c r="M38" s="975"/>
    </row>
    <row r="39" spans="1:13">
      <c r="A39" s="215" t="s">
        <v>835</v>
      </c>
      <c r="B39" s="891" t="s">
        <v>990</v>
      </c>
      <c r="C39" s="891" t="s">
        <v>1623</v>
      </c>
      <c r="D39" s="1071">
        <v>287335.8099853188</v>
      </c>
      <c r="E39" s="894">
        <f t="shared" si="2"/>
        <v>1.3402305693292304E-3</v>
      </c>
      <c r="F39" s="892">
        <v>266051.02451726433</v>
      </c>
      <c r="G39" s="320">
        <f>'[7]1-Project Rev Req'!Q87+'[7]1-Project Rev Req'!S87</f>
        <v>286196.61400138895</v>
      </c>
      <c r="H39" s="892">
        <f t="shared" si="0"/>
        <v>20145.589484124619</v>
      </c>
      <c r="I39" s="892">
        <v>-139.84320371417232</v>
      </c>
      <c r="J39" s="299">
        <f>+'6-True-Up Interest'!G62</f>
        <v>930.26720203908576</v>
      </c>
      <c r="K39" s="892">
        <f t="shared" si="1"/>
        <v>20936.013482449533</v>
      </c>
      <c r="M39" s="975"/>
    </row>
    <row r="40" spans="1:13">
      <c r="A40" s="215" t="s">
        <v>836</v>
      </c>
      <c r="B40" s="891" t="s">
        <v>816</v>
      </c>
      <c r="C40" s="891" t="s">
        <v>738</v>
      </c>
      <c r="D40" s="1071">
        <v>282868.12704968418</v>
      </c>
      <c r="E40" s="894">
        <f t="shared" si="2"/>
        <v>1.3193917979811203E-3</v>
      </c>
      <c r="F40" s="892">
        <v>263496.89108309953</v>
      </c>
      <c r="G40" s="320">
        <f>'[7]1-Project Rev Req'!Q88+'[7]1-Project Rev Req'!S88</f>
        <v>281746.64402140025</v>
      </c>
      <c r="H40" s="892">
        <f t="shared" si="0"/>
        <v>18249.75293830072</v>
      </c>
      <c r="I40" s="892">
        <v>-138.77369315791842</v>
      </c>
      <c r="J40" s="299">
        <f>+'6-True-Up Interest'!G63</f>
        <v>842.1605348991402</v>
      </c>
      <c r="K40" s="892">
        <f t="shared" si="1"/>
        <v>18953.13978004194</v>
      </c>
      <c r="M40" s="975"/>
    </row>
    <row r="41" spans="1:13">
      <c r="A41" s="215" t="s">
        <v>837</v>
      </c>
      <c r="B41" s="891" t="s">
        <v>1178</v>
      </c>
      <c r="C41" s="891" t="s">
        <v>721</v>
      </c>
      <c r="D41" s="1071">
        <v>729604.10538926069</v>
      </c>
      <c r="E41" s="894">
        <f t="shared" si="2"/>
        <v>3.4031182037517513E-3</v>
      </c>
      <c r="F41" s="892">
        <v>686387.75319661188</v>
      </c>
      <c r="G41" s="320">
        <f>'[7]1-Project Rev Req'!Q89+'[7]1-Project Rev Req'!S89</f>
        <v>726711.45491607173</v>
      </c>
      <c r="H41" s="892">
        <f t="shared" si="0"/>
        <v>40323.701719459845</v>
      </c>
      <c r="I41" s="892">
        <v>-355.22350784861936</v>
      </c>
      <c r="J41" s="299">
        <f>+'6-True-Up Interest'!G64</f>
        <v>1858.5342368399222</v>
      </c>
      <c r="K41" s="892">
        <f t="shared" si="1"/>
        <v>41827.012448451147</v>
      </c>
      <c r="M41" s="975"/>
    </row>
    <row r="42" spans="1:13">
      <c r="A42" s="215" t="s">
        <v>838</v>
      </c>
      <c r="B42" s="891" t="s">
        <v>1179</v>
      </c>
      <c r="C42" s="891" t="s">
        <v>736</v>
      </c>
      <c r="D42" s="1071">
        <v>547355.14334538672</v>
      </c>
      <c r="E42" s="894">
        <f t="shared" si="2"/>
        <v>2.5530479317163843E-3</v>
      </c>
      <c r="F42" s="892">
        <v>513565.32827486604</v>
      </c>
      <c r="G42" s="320">
        <f>'[7]1-Project Rev Req'!Q90+'[7]1-Project Rev Req'!S90</f>
        <v>545185.05260342779</v>
      </c>
      <c r="H42" s="892">
        <f t="shared" si="0"/>
        <v>31619.724328561744</v>
      </c>
      <c r="I42" s="892">
        <v>-265.8401886491946</v>
      </c>
      <c r="J42" s="299">
        <f>+'6-True-Up Interest'!G65</f>
        <v>1457.9556125059335</v>
      </c>
      <c r="K42" s="892">
        <f t="shared" si="1"/>
        <v>32811.839752418484</v>
      </c>
      <c r="M42" s="975"/>
    </row>
    <row r="43" spans="1:13">
      <c r="A43" s="215" t="s">
        <v>839</v>
      </c>
      <c r="B43" s="891" t="s">
        <v>1552</v>
      </c>
      <c r="C43" s="891" t="s">
        <v>1553</v>
      </c>
      <c r="D43" s="1071">
        <v>2030904.0478982569</v>
      </c>
      <c r="E43" s="894">
        <f t="shared" si="2"/>
        <v>9.4728174970839588E-3</v>
      </c>
      <c r="F43" s="1096">
        <v>2387814.8570669489</v>
      </c>
      <c r="G43" s="320">
        <f>'[7]1-Project Rev Req'!Q91+'[7]1-Project Rev Req'!S91</f>
        <v>2022852.1530257356</v>
      </c>
      <c r="H43" s="892">
        <f t="shared" si="0"/>
        <v>-364962.70404121326</v>
      </c>
      <c r="I43" s="892">
        <v>-985.88444522624411</v>
      </c>
      <c r="J43" s="299">
        <f>+'6-True-Up Interest'!G66</f>
        <v>-17016.609364619435</v>
      </c>
      <c r="K43" s="892">
        <f t="shared" si="1"/>
        <v>-382965.19785105891</v>
      </c>
      <c r="M43" s="975"/>
    </row>
    <row r="44" spans="1:13" ht="13.5" customHeight="1">
      <c r="A44" s="215" t="s">
        <v>1566</v>
      </c>
      <c r="B44" s="891" t="s">
        <v>1564</v>
      </c>
      <c r="C44" s="891" t="s">
        <v>1565</v>
      </c>
      <c r="D44" s="1071">
        <v>155414.2200597623</v>
      </c>
      <c r="E44" s="894">
        <f t="shared" si="2"/>
        <v>7.2490403699836787E-4</v>
      </c>
      <c r="F44" s="1096">
        <v>197011.79223936095</v>
      </c>
      <c r="G44" s="320">
        <f>'[7]1-Project Rev Req'!Q92+'[7]1-Project Rev Req'!S92</f>
        <v>154798.0516283137</v>
      </c>
      <c r="H44" s="892">
        <f t="shared" si="0"/>
        <v>-42213.740611047251</v>
      </c>
      <c r="I44" s="892">
        <v>-75.832429193907714</v>
      </c>
      <c r="J44" s="299">
        <f>+'6-True-Up Interest'!G67</f>
        <v>-1966.4651463712139</v>
      </c>
      <c r="K44" s="892">
        <f t="shared" si="1"/>
        <v>-44256.038186612372</v>
      </c>
      <c r="M44" s="975"/>
    </row>
    <row r="45" spans="1:13" ht="13.5" customHeight="1">
      <c r="A45" s="280"/>
      <c r="B45" s="891"/>
      <c r="C45" s="891"/>
      <c r="D45" s="895"/>
      <c r="E45" s="894"/>
      <c r="F45" s="896"/>
      <c r="G45" s="321"/>
      <c r="H45" s="896"/>
      <c r="I45" s="894"/>
      <c r="J45" s="300"/>
      <c r="K45" s="897"/>
      <c r="M45" s="975"/>
    </row>
    <row r="46" spans="1:13">
      <c r="A46" s="280"/>
      <c r="B46" s="891"/>
      <c r="C46" s="891"/>
      <c r="D46" s="895"/>
      <c r="E46" s="894"/>
      <c r="F46" s="896"/>
      <c r="G46" s="321"/>
      <c r="H46" s="896"/>
      <c r="I46" s="894"/>
      <c r="J46" s="300"/>
      <c r="K46" s="897"/>
      <c r="M46" s="975"/>
    </row>
    <row r="47" spans="1:13">
      <c r="A47" s="280"/>
      <c r="B47" s="301"/>
      <c r="C47" s="301"/>
      <c r="D47" s="302"/>
      <c r="E47" s="303"/>
      <c r="F47" s="305"/>
      <c r="G47" s="304"/>
      <c r="H47" s="305"/>
      <c r="I47" s="301"/>
      <c r="J47" s="301"/>
      <c r="K47" s="301"/>
      <c r="M47" s="975"/>
    </row>
    <row r="48" spans="1:13">
      <c r="A48" s="280">
        <v>4</v>
      </c>
      <c r="B48" s="88" t="s">
        <v>359</v>
      </c>
      <c r="C48" s="88"/>
      <c r="D48" s="32">
        <f>SUM(D18:D47)</f>
        <v>214392819.0871866</v>
      </c>
      <c r="E48" s="306">
        <f>SUM(E18:E47)</f>
        <v>0.99999999999999989</v>
      </c>
      <c r="F48" s="32">
        <f>SUM(F18:F47)</f>
        <v>186298200.24855107</v>
      </c>
      <c r="G48" s="32">
        <f>SUM(G18:G47)</f>
        <v>201655108.29090419</v>
      </c>
      <c r="H48" s="32">
        <f>SUM(H18:H47)</f>
        <v>15356908.0423532</v>
      </c>
      <c r="I48" s="32"/>
      <c r="J48" s="32">
        <f>SUM(J18:J47)</f>
        <v>709425.30886109034</v>
      </c>
      <c r="K48" s="32">
        <f>SUM(K18:K47)</f>
        <v>15965883.563938303</v>
      </c>
      <c r="M48" s="56"/>
    </row>
    <row r="49" spans="1:12">
      <c r="A49" s="280"/>
      <c r="B49" s="88"/>
      <c r="C49" s="88"/>
      <c r="D49" s="306"/>
      <c r="E49" s="306"/>
      <c r="F49" s="306"/>
      <c r="G49" s="306"/>
      <c r="H49" s="306"/>
      <c r="I49" s="306"/>
      <c r="J49" s="306"/>
      <c r="K49" s="306"/>
    </row>
    <row r="50" spans="1:12">
      <c r="A50" s="280"/>
      <c r="B50" s="88"/>
      <c r="C50" s="88"/>
      <c r="D50" s="306"/>
      <c r="E50" s="306"/>
      <c r="F50" s="306"/>
      <c r="G50" s="306" t="s">
        <v>351</v>
      </c>
      <c r="H50" s="306"/>
      <c r="I50" s="306"/>
      <c r="J50" s="306">
        <f>'6-True-Up Interest'!E26</f>
        <v>2.7352941176470589E-3</v>
      </c>
      <c r="K50" s="306"/>
    </row>
    <row r="51" spans="1:12">
      <c r="A51" s="280"/>
      <c r="B51" s="88"/>
      <c r="C51" s="88"/>
      <c r="D51" s="306"/>
      <c r="E51" s="306"/>
      <c r="F51" s="306"/>
      <c r="G51" s="306" t="s">
        <v>352</v>
      </c>
      <c r="H51" s="306"/>
      <c r="I51" s="306"/>
      <c r="J51" s="32">
        <f>+J48</f>
        <v>709425.30886109034</v>
      </c>
      <c r="K51" s="306"/>
    </row>
    <row r="52" spans="1:12">
      <c r="A52" s="280"/>
      <c r="B52" s="307" t="s">
        <v>182</v>
      </c>
      <c r="C52" s="88"/>
      <c r="D52" s="88"/>
      <c r="E52" s="88"/>
      <c r="F52" s="88"/>
      <c r="G52" s="88"/>
      <c r="H52" s="88"/>
      <c r="I52" s="88"/>
      <c r="J52" s="88"/>
      <c r="K52" s="88"/>
      <c r="L52" s="6"/>
    </row>
    <row r="53" spans="1:12">
      <c r="A53" s="280"/>
      <c r="B53" s="88" t="s">
        <v>1085</v>
      </c>
      <c r="C53" s="88"/>
      <c r="D53" s="88"/>
      <c r="E53" s="88"/>
      <c r="F53" s="88"/>
      <c r="G53" s="88"/>
      <c r="H53" s="88"/>
      <c r="I53" s="88"/>
      <c r="J53" s="88"/>
      <c r="K53" s="88"/>
      <c r="L53" s="6"/>
    </row>
    <row r="54" spans="1:12">
      <c r="A54" s="280"/>
      <c r="B54" s="88" t="s">
        <v>1212</v>
      </c>
      <c r="C54" s="88"/>
      <c r="D54" s="88"/>
      <c r="E54" s="88"/>
      <c r="F54" s="88"/>
      <c r="G54" s="88"/>
      <c r="H54" s="88"/>
      <c r="I54" s="88"/>
      <c r="J54" s="88"/>
      <c r="K54" s="88"/>
      <c r="L54" s="6"/>
    </row>
    <row r="55" spans="1:12">
      <c r="A55" s="280"/>
      <c r="B55" s="88" t="s">
        <v>1126</v>
      </c>
      <c r="C55" s="88"/>
      <c r="D55" s="88"/>
      <c r="E55" s="88"/>
      <c r="F55" s="88"/>
      <c r="G55" s="88"/>
      <c r="H55" s="88"/>
      <c r="I55" s="88"/>
      <c r="J55" s="88"/>
      <c r="K55" s="88"/>
      <c r="L55" s="6"/>
    </row>
    <row r="56" spans="1:12">
      <c r="A56" s="280"/>
      <c r="B56" s="148" t="s">
        <v>1127</v>
      </c>
      <c r="C56" s="88"/>
      <c r="D56" s="88"/>
      <c r="E56" s="88"/>
      <c r="F56" s="88"/>
      <c r="G56" s="88"/>
      <c r="H56" s="88"/>
      <c r="I56" s="88"/>
      <c r="J56" s="88"/>
      <c r="K56" s="88"/>
      <c r="L56" s="6"/>
    </row>
    <row r="57" spans="1:12">
      <c r="A57" s="280"/>
      <c r="B57" s="148"/>
      <c r="C57" s="88"/>
      <c r="D57" s="88"/>
      <c r="E57" s="88"/>
      <c r="F57" s="88"/>
      <c r="G57" s="88"/>
      <c r="H57" s="88"/>
      <c r="I57" s="88"/>
      <c r="J57" s="88"/>
      <c r="K57" s="88"/>
      <c r="L57" s="6"/>
    </row>
    <row r="58" spans="1:12">
      <c r="A58" s="280"/>
      <c r="B58" s="88" t="s">
        <v>409</v>
      </c>
      <c r="C58" s="88"/>
      <c r="D58" s="88"/>
      <c r="E58" s="88"/>
      <c r="F58" s="88"/>
      <c r="G58" s="88"/>
      <c r="H58" s="88"/>
      <c r="I58" s="88"/>
      <c r="J58" s="88"/>
      <c r="K58" s="88"/>
      <c r="L58" s="6"/>
    </row>
    <row r="59" spans="1:12">
      <c r="A59" s="280"/>
      <c r="B59" s="12" t="s">
        <v>415</v>
      </c>
      <c r="C59" s="88"/>
      <c r="D59" s="88"/>
      <c r="E59" s="88"/>
      <c r="F59" s="88"/>
      <c r="G59" s="88"/>
      <c r="H59" s="88"/>
      <c r="I59" s="88"/>
      <c r="J59" s="88"/>
      <c r="K59" s="88"/>
      <c r="L59" s="6"/>
    </row>
    <row r="60" spans="1:12">
      <c r="A60" s="280"/>
      <c r="B60" s="148"/>
      <c r="C60" s="148"/>
      <c r="D60" s="148"/>
      <c r="E60" s="148"/>
      <c r="F60" s="148"/>
      <c r="G60" s="148"/>
      <c r="H60" s="148"/>
      <c r="I60" s="148"/>
      <c r="J60" s="88"/>
      <c r="K60" s="88"/>
      <c r="L60" s="6"/>
    </row>
    <row r="61" spans="1:12">
      <c r="A61" s="280"/>
      <c r="B61" s="148"/>
      <c r="C61" s="88"/>
      <c r="D61" s="88"/>
      <c r="E61" s="88"/>
      <c r="F61" s="88"/>
      <c r="G61" s="88"/>
      <c r="H61" s="88"/>
      <c r="I61" s="88"/>
      <c r="J61" s="88"/>
      <c r="K61" s="88"/>
      <c r="L61" s="6"/>
    </row>
    <row r="62" spans="1:12">
      <c r="A62" s="280"/>
      <c r="B62" s="148"/>
      <c r="C62" s="88"/>
      <c r="D62" s="88"/>
      <c r="E62" s="88"/>
      <c r="F62" s="88"/>
      <c r="G62" s="88"/>
      <c r="H62" s="88"/>
      <c r="I62" s="88"/>
      <c r="J62" s="88"/>
      <c r="K62" s="88"/>
      <c r="L62" s="6"/>
    </row>
    <row r="63" spans="1:12">
      <c r="A63" s="280"/>
      <c r="B63" s="308"/>
      <c r="C63" s="308"/>
      <c r="D63" s="41"/>
      <c r="E63" s="41"/>
      <c r="F63" s="41"/>
      <c r="G63" s="41"/>
      <c r="H63" s="41"/>
      <c r="I63" s="308"/>
      <c r="J63" s="308"/>
      <c r="K63" s="148"/>
    </row>
    <row r="64" spans="1:12">
      <c r="A64" s="309" t="s">
        <v>917</v>
      </c>
      <c r="B64" s="148"/>
      <c r="C64" s="308"/>
      <c r="D64" s="41"/>
      <c r="E64" s="41"/>
      <c r="F64" s="41"/>
      <c r="G64" s="41"/>
      <c r="H64" s="41"/>
      <c r="I64" s="308"/>
      <c r="J64" s="308"/>
      <c r="K64" s="148"/>
    </row>
    <row r="65" spans="1:11">
      <c r="A65" s="280"/>
      <c r="B65" s="177" t="s">
        <v>198</v>
      </c>
      <c r="C65" s="310" t="s">
        <v>199</v>
      </c>
      <c r="D65" s="311" t="s">
        <v>200</v>
      </c>
      <c r="E65" s="311" t="s">
        <v>201</v>
      </c>
      <c r="F65" s="177"/>
      <c r="G65" s="148"/>
      <c r="H65" s="148"/>
      <c r="I65" s="148"/>
      <c r="J65" s="308"/>
      <c r="K65" s="148"/>
    </row>
    <row r="66" spans="1:11">
      <c r="A66" s="280"/>
      <c r="B66" s="312" t="str">
        <f>+A64</f>
        <v>Prior Period Adjustments</v>
      </c>
      <c r="C66" s="313" t="s">
        <v>11</v>
      </c>
      <c r="D66" s="313" t="s">
        <v>297</v>
      </c>
      <c r="E66" s="313" t="s">
        <v>13</v>
      </c>
      <c r="F66" s="148"/>
      <c r="G66" s="148"/>
      <c r="H66" s="148"/>
      <c r="I66" s="148"/>
      <c r="J66" s="308"/>
      <c r="K66" s="148"/>
    </row>
    <row r="67" spans="1:11">
      <c r="A67" s="280"/>
      <c r="B67" s="314" t="s">
        <v>390</v>
      </c>
      <c r="C67" s="315" t="s">
        <v>353</v>
      </c>
      <c r="D67" s="314" t="s">
        <v>390</v>
      </c>
      <c r="E67" s="315" t="s">
        <v>354</v>
      </c>
      <c r="F67" s="148"/>
      <c r="G67" s="148"/>
      <c r="H67" s="148"/>
      <c r="I67" s="148"/>
      <c r="J67" s="308"/>
      <c r="K67" s="148"/>
    </row>
    <row r="68" spans="1:11">
      <c r="A68" s="280" t="s">
        <v>132</v>
      </c>
      <c r="B68" s="898">
        <v>0</v>
      </c>
      <c r="C68" s="889">
        <v>-100449.78727598688</v>
      </c>
      <c r="D68" s="899">
        <v>0</v>
      </c>
      <c r="E68" s="889">
        <f>+C68+D68</f>
        <v>-100449.78727598688</v>
      </c>
      <c r="F68" s="148"/>
      <c r="G68" s="148"/>
      <c r="H68" s="148"/>
      <c r="I68" s="148"/>
      <c r="J68" s="308"/>
      <c r="K68" s="148"/>
    </row>
    <row r="69" spans="1:11">
      <c r="A69" s="280"/>
      <c r="B69" s="316"/>
      <c r="C69" s="225"/>
      <c r="D69" s="225"/>
      <c r="E69" s="226"/>
      <c r="F69" s="148"/>
      <c r="G69" s="148"/>
      <c r="H69" s="148"/>
      <c r="I69" s="148"/>
      <c r="J69" s="308"/>
      <c r="K69" s="148"/>
    </row>
    <row r="70" spans="1:11">
      <c r="A70" s="280"/>
      <c r="B70" s="148"/>
      <c r="C70" s="308"/>
      <c r="D70" s="308"/>
      <c r="E70" s="308"/>
      <c r="F70" s="308"/>
      <c r="G70" s="308"/>
      <c r="H70" s="39"/>
      <c r="I70" s="148"/>
      <c r="J70" s="308"/>
      <c r="K70" s="148"/>
    </row>
    <row r="71" spans="1:11" ht="66" customHeight="1" thickBot="1">
      <c r="A71" s="317" t="s">
        <v>182</v>
      </c>
      <c r="B71" s="148"/>
      <c r="C71" s="21"/>
      <c r="D71" s="318"/>
      <c r="E71" s="318"/>
      <c r="F71" s="318"/>
      <c r="G71" s="318"/>
      <c r="H71" s="318"/>
      <c r="I71" s="318"/>
      <c r="J71" s="308"/>
      <c r="K71" s="148"/>
    </row>
    <row r="72" spans="1:11" ht="50.15" customHeight="1">
      <c r="A72" s="230" t="s">
        <v>58</v>
      </c>
      <c r="B72" s="1120" t="s">
        <v>425</v>
      </c>
      <c r="C72" s="1120"/>
      <c r="D72" s="1120"/>
      <c r="E72" s="1120"/>
      <c r="F72" s="1120"/>
      <c r="G72" s="1120"/>
      <c r="H72" s="1120"/>
      <c r="I72" s="1120"/>
      <c r="J72" s="1120"/>
      <c r="K72" s="1120"/>
    </row>
    <row r="73" spans="1:11" ht="27" customHeight="1">
      <c r="A73" s="319" t="s">
        <v>59</v>
      </c>
      <c r="B73" s="1111" t="s">
        <v>1330</v>
      </c>
      <c r="C73" s="1111"/>
      <c r="D73" s="1111"/>
      <c r="E73" s="1111"/>
      <c r="F73" s="1111"/>
      <c r="G73" s="1111"/>
      <c r="H73" s="1111"/>
      <c r="I73" s="1111"/>
      <c r="J73" s="1111"/>
      <c r="K73" s="1111"/>
    </row>
    <row r="74" spans="1:11">
      <c r="A74" s="319" t="s">
        <v>60</v>
      </c>
      <c r="B74" s="1111" t="s">
        <v>1480</v>
      </c>
      <c r="C74" s="1111"/>
      <c r="D74" s="1111"/>
      <c r="E74" s="1111"/>
      <c r="F74" s="1111"/>
      <c r="G74" s="1111"/>
      <c r="H74" s="1111"/>
      <c r="I74" s="1111"/>
      <c r="J74" s="1111"/>
      <c r="K74" s="1111"/>
    </row>
    <row r="78" spans="1:11" ht="24" customHeight="1"/>
  </sheetData>
  <mergeCells count="7">
    <mergeCell ref="B73:K73"/>
    <mergeCell ref="B74:K74"/>
    <mergeCell ref="B16:B17"/>
    <mergeCell ref="D10:E10"/>
    <mergeCell ref="D11:E11"/>
    <mergeCell ref="C16:C17"/>
    <mergeCell ref="B72:K72"/>
  </mergeCells>
  <phoneticPr fontId="0" type="noConversion"/>
  <pageMargins left="0.25" right="0.25" top="0.75" bottom="0.75" header="0.3" footer="0.3"/>
  <pageSetup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118"/>
  <sheetViews>
    <sheetView view="pageBreakPreview" topLeftCell="A73" zoomScale="75" zoomScaleNormal="85" zoomScaleSheetLayoutView="75" workbookViewId="0">
      <selection activeCell="K32" sqref="K32"/>
    </sheetView>
  </sheetViews>
  <sheetFormatPr defaultColWidth="8.84375" defaultRowHeight="13"/>
  <cols>
    <col min="1" max="1" width="4.84375" style="322" customWidth="1"/>
    <col min="2" max="2" width="29" style="21" bestFit="1" customWidth="1"/>
    <col min="3" max="3" width="35.53515625" style="21" customWidth="1"/>
    <col min="4" max="4" width="19.07421875" style="21" customWidth="1"/>
    <col min="5" max="5" width="20.3046875" style="21" customWidth="1"/>
    <col min="6" max="6" width="19.69140625" style="21" customWidth="1"/>
    <col min="7" max="7" width="21.07421875" style="21" customWidth="1"/>
    <col min="8" max="9" width="21.4609375" style="21" customWidth="1"/>
    <col min="10" max="12" width="18.4609375" style="21" customWidth="1"/>
    <col min="13" max="14" width="11.84375" style="21" customWidth="1"/>
    <col min="15" max="16384" width="8.84375" style="21"/>
  </cols>
  <sheetData>
    <row r="1" spans="1:12">
      <c r="C1" s="323"/>
      <c r="D1" s="323"/>
      <c r="E1" s="323"/>
      <c r="G1" s="151" t="s">
        <v>191</v>
      </c>
      <c r="H1" s="323"/>
      <c r="I1" s="323"/>
      <c r="L1" s="324" t="s">
        <v>422</v>
      </c>
    </row>
    <row r="2" spans="1:12">
      <c r="A2" s="325"/>
      <c r="C2" s="323"/>
      <c r="D2" s="323"/>
      <c r="E2" s="323"/>
      <c r="F2" s="323"/>
      <c r="G2" s="326" t="s">
        <v>260</v>
      </c>
      <c r="H2" s="323"/>
      <c r="I2" s="323"/>
      <c r="J2" s="323"/>
      <c r="L2" s="327"/>
    </row>
    <row r="3" spans="1:12">
      <c r="A3" s="325"/>
      <c r="C3" s="323"/>
      <c r="D3" s="323"/>
      <c r="E3" s="323"/>
      <c r="F3" s="323"/>
      <c r="G3" s="24" t="str">
        <f>+'Attachment H-7'!D5</f>
        <v>PECO Energy Company</v>
      </c>
      <c r="H3" s="323"/>
      <c r="I3" s="323"/>
      <c r="J3" s="323"/>
    </row>
    <row r="4" spans="1:12">
      <c r="A4" s="325"/>
      <c r="C4" s="323"/>
      <c r="D4" s="323"/>
      <c r="E4" s="323"/>
      <c r="F4" s="323"/>
      <c r="G4" s="323"/>
      <c r="H4" s="323"/>
      <c r="I4" s="323"/>
      <c r="J4" s="323"/>
    </row>
    <row r="5" spans="1:12">
      <c r="A5" s="325"/>
      <c r="B5" s="328"/>
      <c r="C5" s="328"/>
      <c r="D5" s="328"/>
      <c r="E5" s="328"/>
      <c r="F5" s="328"/>
      <c r="G5" s="328"/>
      <c r="H5" s="328"/>
      <c r="I5" s="328"/>
      <c r="J5" s="328"/>
    </row>
    <row r="6" spans="1:12">
      <c r="A6" s="325"/>
      <c r="B6" s="328"/>
      <c r="C6" s="1125" t="s">
        <v>209</v>
      </c>
      <c r="D6" s="1126"/>
      <c r="E6" s="1127"/>
      <c r="F6" s="329" t="s">
        <v>211</v>
      </c>
      <c r="G6" s="329" t="s">
        <v>212</v>
      </c>
      <c r="H6" s="329" t="s">
        <v>210</v>
      </c>
      <c r="I6" s="329"/>
      <c r="J6" s="1122" t="s">
        <v>208</v>
      </c>
      <c r="K6" s="1123"/>
      <c r="L6" s="1124"/>
    </row>
    <row r="7" spans="1:12" s="333" customFormat="1" ht="26">
      <c r="A7" s="330" t="s">
        <v>197</v>
      </c>
      <c r="B7" s="331" t="s">
        <v>167</v>
      </c>
      <c r="C7" s="331" t="s">
        <v>17</v>
      </c>
      <c r="D7" s="331" t="s">
        <v>660</v>
      </c>
      <c r="E7" s="332" t="s">
        <v>702</v>
      </c>
      <c r="F7" s="331" t="s">
        <v>391</v>
      </c>
      <c r="G7" s="331" t="s">
        <v>168</v>
      </c>
      <c r="H7" s="331" t="s">
        <v>169</v>
      </c>
      <c r="I7" s="331" t="s">
        <v>170</v>
      </c>
      <c r="J7" s="331" t="s">
        <v>17</v>
      </c>
      <c r="K7" s="331" t="s">
        <v>660</v>
      </c>
      <c r="L7" s="332" t="s">
        <v>702</v>
      </c>
    </row>
    <row r="8" spans="1:12" s="126" customFormat="1">
      <c r="A8" s="325"/>
      <c r="B8" s="329" t="s">
        <v>198</v>
      </c>
      <c r="C8" s="329" t="s">
        <v>199</v>
      </c>
      <c r="D8" s="329" t="s">
        <v>200</v>
      </c>
      <c r="E8" s="331" t="s">
        <v>1088</v>
      </c>
      <c r="F8" s="331" t="s">
        <v>203</v>
      </c>
      <c r="G8" s="331" t="s">
        <v>202</v>
      </c>
      <c r="H8" s="331" t="s">
        <v>204</v>
      </c>
      <c r="I8" s="334" t="s">
        <v>1087</v>
      </c>
      <c r="J8" s="334" t="s">
        <v>1089</v>
      </c>
      <c r="K8" s="334" t="s">
        <v>1090</v>
      </c>
      <c r="L8" s="334" t="s">
        <v>1091</v>
      </c>
    </row>
    <row r="9" spans="1:12" s="126" customFormat="1">
      <c r="A9" s="325"/>
      <c r="B9" s="335" t="s">
        <v>393</v>
      </c>
      <c r="C9" s="326">
        <v>2</v>
      </c>
      <c r="D9" s="326">
        <v>4</v>
      </c>
      <c r="E9" s="336">
        <v>5</v>
      </c>
      <c r="F9" s="337">
        <v>27</v>
      </c>
      <c r="G9" s="337">
        <v>31</v>
      </c>
      <c r="H9" s="337">
        <v>34</v>
      </c>
      <c r="I9" s="337">
        <v>35</v>
      </c>
      <c r="J9" s="338">
        <v>9</v>
      </c>
      <c r="K9" s="338">
        <v>11</v>
      </c>
      <c r="L9" s="336">
        <v>12</v>
      </c>
    </row>
    <row r="10" spans="1:12" s="126" customFormat="1" ht="77.25" customHeight="1">
      <c r="A10" s="325"/>
      <c r="B10" s="329"/>
      <c r="C10" s="339" t="s">
        <v>667</v>
      </c>
      <c r="D10" s="340" t="s">
        <v>666</v>
      </c>
      <c r="E10" s="341" t="s">
        <v>1061</v>
      </c>
      <c r="F10" s="341" t="s">
        <v>103</v>
      </c>
      <c r="G10" s="982" t="s">
        <v>1755</v>
      </c>
      <c r="H10" s="340" t="s">
        <v>1487</v>
      </c>
      <c r="I10" s="340" t="s">
        <v>302</v>
      </c>
      <c r="J10" s="340" t="s">
        <v>449</v>
      </c>
      <c r="K10" s="340" t="s">
        <v>659</v>
      </c>
      <c r="L10" s="341" t="s">
        <v>1061</v>
      </c>
    </row>
    <row r="11" spans="1:12">
      <c r="A11" s="325">
        <v>1</v>
      </c>
      <c r="B11" s="342" t="s">
        <v>195</v>
      </c>
      <c r="C11" s="914">
        <v>1780075786.4759996</v>
      </c>
      <c r="D11" s="914">
        <v>313881246.76999998</v>
      </c>
      <c r="E11" s="914">
        <v>789647725.85295999</v>
      </c>
      <c r="F11" s="914">
        <v>0</v>
      </c>
      <c r="G11" s="914">
        <v>11520952.575999999</v>
      </c>
      <c r="H11" s="914">
        <v>10811135.788111135</v>
      </c>
      <c r="I11" s="914">
        <v>695996.56965930841</v>
      </c>
      <c r="J11" s="914">
        <v>548972837.52250004</v>
      </c>
      <c r="K11" s="914">
        <v>104906164.92169407</v>
      </c>
      <c r="L11" s="914">
        <v>342344044.85618997</v>
      </c>
    </row>
    <row r="12" spans="1:12">
      <c r="A12" s="325">
        <v>2</v>
      </c>
      <c r="B12" s="342" t="s">
        <v>84</v>
      </c>
      <c r="C12" s="914">
        <v>1795127702.4451225</v>
      </c>
      <c r="D12" s="914">
        <v>314519359.76999998</v>
      </c>
      <c r="E12" s="914">
        <v>800564500.30743837</v>
      </c>
      <c r="F12" s="914">
        <v>0</v>
      </c>
      <c r="G12" s="878">
        <v>9896843.9499999974</v>
      </c>
      <c r="H12" s="914">
        <v>10713886.690076368</v>
      </c>
      <c r="I12" s="878">
        <v>1323912.8121182171</v>
      </c>
      <c r="J12" s="914">
        <v>551335726.18909323</v>
      </c>
      <c r="K12" s="914">
        <v>106606106.1616286</v>
      </c>
      <c r="L12" s="914">
        <v>345934633.66961348</v>
      </c>
    </row>
    <row r="13" spans="1:12">
      <c r="A13" s="325">
        <v>3</v>
      </c>
      <c r="B13" s="323" t="s">
        <v>83</v>
      </c>
      <c r="C13" s="914">
        <v>1796545772.4082036</v>
      </c>
      <c r="D13" s="914">
        <v>315342378.76999998</v>
      </c>
      <c r="E13" s="914">
        <v>802631547.20543838</v>
      </c>
      <c r="F13" s="914">
        <v>0</v>
      </c>
      <c r="G13" s="878">
        <v>9896843.9499999974</v>
      </c>
      <c r="H13" s="914">
        <v>10778409.811353525</v>
      </c>
      <c r="I13" s="878">
        <v>1654593.9368926268</v>
      </c>
      <c r="J13" s="914">
        <v>553710490.45468104</v>
      </c>
      <c r="K13" s="914">
        <v>108281247.05830106</v>
      </c>
      <c r="L13" s="914">
        <v>349553123.25547725</v>
      </c>
    </row>
    <row r="14" spans="1:12">
      <c r="A14" s="325">
        <v>4</v>
      </c>
      <c r="B14" s="323" t="s">
        <v>171</v>
      </c>
      <c r="C14" s="914">
        <v>1804948451.1411307</v>
      </c>
      <c r="D14" s="914">
        <v>316182490.76999998</v>
      </c>
      <c r="E14" s="914">
        <v>806382578.14329839</v>
      </c>
      <c r="F14" s="914">
        <v>0</v>
      </c>
      <c r="G14" s="878">
        <v>9885823.7799999975</v>
      </c>
      <c r="H14" s="914">
        <v>12938067.261334134</v>
      </c>
      <c r="I14" s="878">
        <v>1026698.7814866765</v>
      </c>
      <c r="J14" s="914">
        <v>556090350.93299758</v>
      </c>
      <c r="K14" s="914">
        <v>109933232.31296171</v>
      </c>
      <c r="L14" s="914">
        <v>353161752.35296732</v>
      </c>
    </row>
    <row r="15" spans="1:12">
      <c r="A15" s="325">
        <v>5</v>
      </c>
      <c r="B15" s="323" t="s">
        <v>74</v>
      </c>
      <c r="C15" s="914">
        <v>1807133987.1308348</v>
      </c>
      <c r="D15" s="914">
        <v>317184545.76999998</v>
      </c>
      <c r="E15" s="914">
        <v>812376324.10929835</v>
      </c>
      <c r="F15" s="914">
        <v>0</v>
      </c>
      <c r="G15" s="878">
        <v>9931237.5799999982</v>
      </c>
      <c r="H15" s="914">
        <v>13264122.464410791</v>
      </c>
      <c r="I15" s="878">
        <v>1013098.6825168445</v>
      </c>
      <c r="J15" s="914">
        <v>558476077.25257707</v>
      </c>
      <c r="K15" s="914">
        <v>111563454.10252365</v>
      </c>
      <c r="L15" s="914">
        <v>356790960.45209581</v>
      </c>
    </row>
    <row r="16" spans="1:12">
      <c r="A16" s="325">
        <v>6</v>
      </c>
      <c r="B16" s="323" t="s">
        <v>73</v>
      </c>
      <c r="C16" s="914">
        <v>1811427016.3973482</v>
      </c>
      <c r="D16" s="914">
        <v>317971408.76999998</v>
      </c>
      <c r="E16" s="914">
        <v>817288351.45429838</v>
      </c>
      <c r="F16" s="914">
        <v>0</v>
      </c>
      <c r="G16" s="878">
        <v>9950090.1999999993</v>
      </c>
      <c r="H16" s="914">
        <v>13214417.949587978</v>
      </c>
      <c r="I16" s="878">
        <v>1474279.1294819152</v>
      </c>
      <c r="J16" s="914">
        <v>560863482.41352761</v>
      </c>
      <c r="K16" s="914">
        <v>113172158.48977783</v>
      </c>
      <c r="L16" s="914">
        <v>360453308.42192888</v>
      </c>
    </row>
    <row r="17" spans="1:12">
      <c r="A17" s="325">
        <v>7</v>
      </c>
      <c r="B17" s="323" t="s">
        <v>93</v>
      </c>
      <c r="C17" s="914">
        <v>1846155502.4188709</v>
      </c>
      <c r="D17" s="914">
        <v>318829231.76999998</v>
      </c>
      <c r="E17" s="914">
        <v>827680318.45648253</v>
      </c>
      <c r="F17" s="914">
        <v>0</v>
      </c>
      <c r="G17" s="878">
        <v>9950090.1999999993</v>
      </c>
      <c r="H17" s="914">
        <v>13453850.604055675</v>
      </c>
      <c r="I17" s="878">
        <v>1366434.5361782261</v>
      </c>
      <c r="J17" s="914">
        <v>563285626.32012784</v>
      </c>
      <c r="K17" s="914">
        <v>114759518.94954675</v>
      </c>
      <c r="L17" s="914">
        <v>364187303.74080628</v>
      </c>
    </row>
    <row r="18" spans="1:12">
      <c r="A18" s="325">
        <v>8</v>
      </c>
      <c r="B18" s="323" t="s">
        <v>81</v>
      </c>
      <c r="C18" s="914">
        <v>1857491203.1702821</v>
      </c>
      <c r="D18" s="914">
        <v>319665985.76999998</v>
      </c>
      <c r="E18" s="914">
        <v>831565252.99748254</v>
      </c>
      <c r="F18" s="914">
        <v>0</v>
      </c>
      <c r="G18" s="878">
        <v>18471163.140000001</v>
      </c>
      <c r="H18" s="914">
        <v>14574202.861392576</v>
      </c>
      <c r="I18" s="878">
        <v>1554457.0642027461</v>
      </c>
      <c r="J18" s="914">
        <v>565749593.86414528</v>
      </c>
      <c r="K18" s="914">
        <v>116326573.02924071</v>
      </c>
      <c r="L18" s="914">
        <v>367990804.63220489</v>
      </c>
    </row>
    <row r="19" spans="1:12">
      <c r="A19" s="325">
        <v>9</v>
      </c>
      <c r="B19" s="323" t="s">
        <v>172</v>
      </c>
      <c r="C19" s="914">
        <v>1862649005.1702821</v>
      </c>
      <c r="D19" s="914">
        <v>320473130.76999998</v>
      </c>
      <c r="E19" s="914">
        <v>835799870.51148248</v>
      </c>
      <c r="F19" s="914">
        <v>0</v>
      </c>
      <c r="G19" s="878">
        <v>18208115.27</v>
      </c>
      <c r="H19" s="914">
        <v>14395740.754129551</v>
      </c>
      <c r="I19" s="878">
        <v>1548248.6771487389</v>
      </c>
      <c r="J19" s="914">
        <v>568225257.01417971</v>
      </c>
      <c r="K19" s="914">
        <v>117873657.96986398</v>
      </c>
      <c r="L19" s="914">
        <v>371805888.89763379</v>
      </c>
    </row>
    <row r="20" spans="1:12">
      <c r="A20" s="325">
        <v>10</v>
      </c>
      <c r="B20" s="323" t="s">
        <v>79</v>
      </c>
      <c r="C20" s="914">
        <v>1946946180.6133711</v>
      </c>
      <c r="D20" s="914">
        <v>321294616.76999998</v>
      </c>
      <c r="E20" s="914">
        <v>839935895.44848251</v>
      </c>
      <c r="F20" s="914">
        <v>0</v>
      </c>
      <c r="G20" s="878">
        <v>18462690.84</v>
      </c>
      <c r="H20" s="914">
        <v>14158177.794693373</v>
      </c>
      <c r="I20" s="878">
        <v>969025.72689603805</v>
      </c>
      <c r="J20" s="914">
        <v>570786719.82916284</v>
      </c>
      <c r="K20" s="914">
        <v>119401470.00913219</v>
      </c>
      <c r="L20" s="914">
        <v>375614729.60036981</v>
      </c>
    </row>
    <row r="21" spans="1:12">
      <c r="A21" s="325">
        <v>11</v>
      </c>
      <c r="B21" s="323" t="s">
        <v>85</v>
      </c>
      <c r="C21" s="914">
        <v>1953346100.2349181</v>
      </c>
      <c r="D21" s="914">
        <v>321936136.76999998</v>
      </c>
      <c r="E21" s="914">
        <v>846257594.18248248</v>
      </c>
      <c r="F21" s="914">
        <v>0</v>
      </c>
      <c r="G21" s="878">
        <v>18455457.370000001</v>
      </c>
      <c r="H21" s="914">
        <v>14052338.436775047</v>
      </c>
      <c r="I21" s="878">
        <v>1695230.9899083539</v>
      </c>
      <c r="J21" s="914">
        <v>573435070.18337357</v>
      </c>
      <c r="K21" s="914">
        <v>120910256.3537908</v>
      </c>
      <c r="L21" s="914">
        <v>379421518.70580214</v>
      </c>
    </row>
    <row r="22" spans="1:12">
      <c r="A22" s="325">
        <v>12</v>
      </c>
      <c r="B22" s="323" t="s">
        <v>78</v>
      </c>
      <c r="C22" s="914">
        <v>1965119801.2626829</v>
      </c>
      <c r="D22" s="914">
        <v>322776122.76999998</v>
      </c>
      <c r="E22" s="914">
        <v>851602242.29348254</v>
      </c>
      <c r="F22" s="914">
        <v>0</v>
      </c>
      <c r="G22" s="878">
        <v>20395998.470000003</v>
      </c>
      <c r="H22" s="914">
        <v>14107867.947832372</v>
      </c>
      <c r="I22" s="878">
        <v>1717426.009281259</v>
      </c>
      <c r="J22" s="914">
        <v>576096449.19398177</v>
      </c>
      <c r="K22" s="914">
        <v>122400911.3274764</v>
      </c>
      <c r="L22" s="914">
        <v>383242054.64050841</v>
      </c>
    </row>
    <row r="23" spans="1:12">
      <c r="A23" s="325">
        <v>13</v>
      </c>
      <c r="B23" s="323" t="s">
        <v>196</v>
      </c>
      <c r="C23" s="914">
        <v>2038826356.5795758</v>
      </c>
      <c r="D23" s="914">
        <v>325587392.60999995</v>
      </c>
      <c r="E23" s="914">
        <v>882301145.28273439</v>
      </c>
      <c r="F23" s="914">
        <v>0</v>
      </c>
      <c r="G23" s="914">
        <v>20535038.34</v>
      </c>
      <c r="H23" s="914">
        <v>14085406.912047215</v>
      </c>
      <c r="I23" s="914">
        <v>1167493.9828616669</v>
      </c>
      <c r="J23" s="914">
        <v>578839212.99147666</v>
      </c>
      <c r="K23" s="914">
        <v>123884258.52089633</v>
      </c>
      <c r="L23" s="914">
        <v>387199403.17126566</v>
      </c>
    </row>
    <row r="24" spans="1:12" ht="13.5" thickBot="1">
      <c r="A24" s="325">
        <v>14</v>
      </c>
      <c r="B24" s="324" t="s">
        <v>261</v>
      </c>
      <c r="C24" s="343">
        <f t="shared" ref="C24:E24" si="0">SUM(C11:C23)/13</f>
        <v>1866599451.1883557</v>
      </c>
      <c r="D24" s="343">
        <f t="shared" si="0"/>
        <v>318895695.98846155</v>
      </c>
      <c r="E24" s="343">
        <f t="shared" si="0"/>
        <v>826464103.55733538</v>
      </c>
      <c r="F24" s="343">
        <f t="shared" ref="F24:L24" si="1">SUM(F11:F23)/13</f>
        <v>0</v>
      </c>
      <c r="G24" s="343">
        <f t="shared" si="1"/>
        <v>14273872.743538462</v>
      </c>
      <c r="H24" s="343">
        <f t="shared" si="1"/>
        <v>13119048.098138442</v>
      </c>
      <c r="I24" s="343">
        <f t="shared" si="1"/>
        <v>1323607.4537409707</v>
      </c>
      <c r="J24" s="343">
        <f t="shared" si="1"/>
        <v>563528222.62783265</v>
      </c>
      <c r="K24" s="343">
        <f t="shared" si="1"/>
        <v>114616846.86206418</v>
      </c>
      <c r="L24" s="343">
        <f t="shared" si="1"/>
        <v>364438425.10745102</v>
      </c>
    </row>
    <row r="25" spans="1:12" ht="13.5" thickTop="1">
      <c r="A25" s="325"/>
      <c r="B25" s="323"/>
      <c r="C25" s="344"/>
      <c r="D25" s="345"/>
      <c r="E25" s="345"/>
      <c r="F25" s="345"/>
      <c r="G25" s="344"/>
      <c r="H25" s="344"/>
      <c r="I25" s="344"/>
    </row>
    <row r="26" spans="1:12">
      <c r="A26" s="325"/>
      <c r="B26" s="346"/>
      <c r="C26" s="1128" t="s">
        <v>213</v>
      </c>
      <c r="D26" s="1128"/>
      <c r="E26" s="1128"/>
      <c r="F26" s="1128"/>
      <c r="G26" s="1128"/>
      <c r="H26" s="1128"/>
      <c r="I26" s="1128"/>
    </row>
    <row r="27" spans="1:12" ht="72" customHeight="1">
      <c r="A27" s="325" t="s">
        <v>197</v>
      </c>
      <c r="B27" s="329" t="s">
        <v>167</v>
      </c>
      <c r="C27" s="334" t="s">
        <v>173</v>
      </c>
      <c r="D27" s="334" t="s">
        <v>174</v>
      </c>
      <c r="E27" s="334" t="s">
        <v>339</v>
      </c>
      <c r="F27" s="334" t="s">
        <v>340</v>
      </c>
      <c r="G27" s="334" t="s">
        <v>341</v>
      </c>
      <c r="H27" s="334" t="s">
        <v>392</v>
      </c>
      <c r="I27" s="334" t="s">
        <v>263</v>
      </c>
      <c r="J27" s="979" t="s">
        <v>654</v>
      </c>
    </row>
    <row r="28" spans="1:12" s="126" customFormat="1">
      <c r="A28" s="325"/>
      <c r="B28" s="329" t="s">
        <v>198</v>
      </c>
      <c r="C28" s="334" t="s">
        <v>199</v>
      </c>
      <c r="D28" s="334" t="s">
        <v>200</v>
      </c>
      <c r="E28" s="334" t="s">
        <v>201</v>
      </c>
      <c r="F28" s="334" t="s">
        <v>203</v>
      </c>
      <c r="G28" s="334" t="s">
        <v>202</v>
      </c>
      <c r="H28" s="334" t="s">
        <v>204</v>
      </c>
      <c r="I28" s="334" t="s">
        <v>205</v>
      </c>
      <c r="J28" s="979" t="s">
        <v>206</v>
      </c>
    </row>
    <row r="29" spans="1:12" s="126" customFormat="1">
      <c r="A29" s="325"/>
      <c r="B29" s="335" t="s">
        <v>393</v>
      </c>
      <c r="C29" s="347">
        <v>28</v>
      </c>
      <c r="D29" s="347">
        <v>29</v>
      </c>
      <c r="E29" s="347">
        <v>22</v>
      </c>
      <c r="F29" s="347">
        <v>23</v>
      </c>
      <c r="G29" s="347">
        <v>24</v>
      </c>
      <c r="H29" s="347">
        <v>25</v>
      </c>
      <c r="I29" s="347">
        <v>26</v>
      </c>
      <c r="J29" s="281" t="s">
        <v>653</v>
      </c>
    </row>
    <row r="30" spans="1:12" s="126" customFormat="1" ht="51" customHeight="1">
      <c r="A30" s="325"/>
      <c r="B30" s="329"/>
      <c r="C30" s="331" t="s">
        <v>337</v>
      </c>
      <c r="D30" s="334" t="s">
        <v>338</v>
      </c>
      <c r="E30" s="334" t="s">
        <v>705</v>
      </c>
      <c r="F30" s="334" t="s">
        <v>706</v>
      </c>
      <c r="G30" s="334" t="s">
        <v>707</v>
      </c>
      <c r="H30" s="334" t="s">
        <v>708</v>
      </c>
      <c r="I30" s="334" t="s">
        <v>795</v>
      </c>
      <c r="J30" s="332" t="s">
        <v>1266</v>
      </c>
    </row>
    <row r="31" spans="1:12">
      <c r="A31" s="325">
        <v>15</v>
      </c>
      <c r="B31" s="342" t="s">
        <v>195</v>
      </c>
      <c r="C31" s="914">
        <v>0</v>
      </c>
      <c r="D31" s="914">
        <v>0</v>
      </c>
      <c r="E31" s="348"/>
      <c r="F31" s="348"/>
      <c r="G31" s="348"/>
      <c r="H31" s="348"/>
      <c r="I31" s="914">
        <v>0</v>
      </c>
      <c r="J31" s="914">
        <v>29436581.942802463</v>
      </c>
    </row>
    <row r="32" spans="1:12">
      <c r="A32" s="325">
        <v>16</v>
      </c>
      <c r="B32" s="342" t="s">
        <v>84</v>
      </c>
      <c r="C32" s="914">
        <v>0</v>
      </c>
      <c r="D32" s="914">
        <v>0</v>
      </c>
      <c r="E32" s="348"/>
      <c r="F32" s="348"/>
      <c r="G32" s="348"/>
      <c r="H32" s="348"/>
      <c r="I32" s="914">
        <v>0</v>
      </c>
      <c r="J32" s="914">
        <v>30530741.648851078</v>
      </c>
    </row>
    <row r="33" spans="1:15">
      <c r="A33" s="325">
        <v>17</v>
      </c>
      <c r="B33" s="323" t="s">
        <v>83</v>
      </c>
      <c r="C33" s="914">
        <v>0</v>
      </c>
      <c r="D33" s="914">
        <v>0</v>
      </c>
      <c r="E33" s="348"/>
      <c r="F33" s="348"/>
      <c r="G33" s="348"/>
      <c r="H33" s="348"/>
      <c r="I33" s="914">
        <v>0</v>
      </c>
      <c r="J33" s="914">
        <v>30510585.4218494</v>
      </c>
    </row>
    <row r="34" spans="1:15">
      <c r="A34" s="325">
        <v>18</v>
      </c>
      <c r="B34" s="323" t="s">
        <v>171</v>
      </c>
      <c r="C34" s="914">
        <v>0</v>
      </c>
      <c r="D34" s="914">
        <v>0</v>
      </c>
      <c r="E34" s="348"/>
      <c r="F34" s="348"/>
      <c r="G34" s="348"/>
      <c r="H34" s="348"/>
      <c r="I34" s="914">
        <v>0</v>
      </c>
      <c r="J34" s="914">
        <v>30466174.469508089</v>
      </c>
    </row>
    <row r="35" spans="1:15">
      <c r="A35" s="325"/>
      <c r="B35" s="323" t="s">
        <v>74</v>
      </c>
      <c r="C35" s="914">
        <v>0</v>
      </c>
      <c r="D35" s="914">
        <v>0</v>
      </c>
      <c r="E35" s="348"/>
      <c r="F35" s="348"/>
      <c r="G35" s="348"/>
      <c r="H35" s="348"/>
      <c r="I35" s="914">
        <v>0</v>
      </c>
      <c r="J35" s="914">
        <v>30435799.837400243</v>
      </c>
    </row>
    <row r="36" spans="1:15">
      <c r="A36" s="325">
        <v>20</v>
      </c>
      <c r="B36" s="323" t="s">
        <v>73</v>
      </c>
      <c r="C36" s="914">
        <v>0</v>
      </c>
      <c r="D36" s="914">
        <v>0</v>
      </c>
      <c r="E36" s="348"/>
      <c r="F36" s="348"/>
      <c r="G36" s="348"/>
      <c r="H36" s="348"/>
      <c r="I36" s="914">
        <v>0</v>
      </c>
      <c r="J36" s="914">
        <v>30407315.77629875</v>
      </c>
    </row>
    <row r="37" spans="1:15">
      <c r="A37" s="325">
        <v>21</v>
      </c>
      <c r="B37" s="323" t="s">
        <v>93</v>
      </c>
      <c r="C37" s="914">
        <v>0</v>
      </c>
      <c r="D37" s="914">
        <v>0</v>
      </c>
      <c r="E37" s="348"/>
      <c r="F37" s="348"/>
      <c r="G37" s="348"/>
      <c r="H37" s="348"/>
      <c r="I37" s="914">
        <v>0</v>
      </c>
      <c r="J37" s="914">
        <v>30376988.519903507</v>
      </c>
    </row>
    <row r="38" spans="1:15">
      <c r="A38" s="325">
        <v>22</v>
      </c>
      <c r="B38" s="323" t="s">
        <v>81</v>
      </c>
      <c r="C38" s="914">
        <v>0</v>
      </c>
      <c r="D38" s="914">
        <v>0</v>
      </c>
      <c r="E38" s="348"/>
      <c r="F38" s="348"/>
      <c r="G38" s="348"/>
      <c r="H38" s="348"/>
      <c r="I38" s="914">
        <v>0</v>
      </c>
      <c r="J38" s="914">
        <v>30369974.002363462</v>
      </c>
    </row>
    <row r="39" spans="1:15">
      <c r="A39" s="325">
        <v>23</v>
      </c>
      <c r="B39" s="323" t="s">
        <v>172</v>
      </c>
      <c r="C39" s="914">
        <v>0</v>
      </c>
      <c r="D39" s="914">
        <v>0</v>
      </c>
      <c r="E39" s="348"/>
      <c r="F39" s="348"/>
      <c r="G39" s="348"/>
      <c r="H39" s="348"/>
      <c r="I39" s="914">
        <v>0</v>
      </c>
      <c r="J39" s="914">
        <v>30339731.538002774</v>
      </c>
    </row>
    <row r="40" spans="1:15">
      <c r="A40" s="325">
        <v>24</v>
      </c>
      <c r="B40" s="323" t="s">
        <v>79</v>
      </c>
      <c r="C40" s="914">
        <v>0</v>
      </c>
      <c r="D40" s="914">
        <v>0</v>
      </c>
      <c r="E40" s="348"/>
      <c r="F40" s="348"/>
      <c r="G40" s="348"/>
      <c r="H40" s="348"/>
      <c r="I40" s="914">
        <v>0</v>
      </c>
      <c r="J40" s="914">
        <v>30293643.821910448</v>
      </c>
    </row>
    <row r="41" spans="1:15">
      <c r="A41" s="325">
        <v>25</v>
      </c>
      <c r="B41" s="323" t="s">
        <v>85</v>
      </c>
      <c r="C41" s="914">
        <v>0</v>
      </c>
      <c r="D41" s="914">
        <v>0</v>
      </c>
      <c r="E41" s="348"/>
      <c r="F41" s="348"/>
      <c r="G41" s="348"/>
      <c r="H41" s="348"/>
      <c r="I41" s="914">
        <v>0</v>
      </c>
      <c r="J41" s="914">
        <v>30398800.591388181</v>
      </c>
    </row>
    <row r="42" spans="1:15">
      <c r="A42" s="325">
        <v>26</v>
      </c>
      <c r="B42" s="323" t="s">
        <v>78</v>
      </c>
      <c r="C42" s="914">
        <v>0</v>
      </c>
      <c r="D42" s="914">
        <v>0</v>
      </c>
      <c r="E42" s="348"/>
      <c r="F42" s="348"/>
      <c r="G42" s="348"/>
      <c r="H42" s="348"/>
      <c r="I42" s="914">
        <v>0</v>
      </c>
      <c r="J42" s="914">
        <v>30368438.498295855</v>
      </c>
    </row>
    <row r="43" spans="1:15">
      <c r="A43" s="325">
        <v>27</v>
      </c>
      <c r="B43" s="323" t="s">
        <v>196</v>
      </c>
      <c r="C43" s="914">
        <v>0</v>
      </c>
      <c r="D43" s="914">
        <v>0</v>
      </c>
      <c r="E43" s="348"/>
      <c r="F43" s="348"/>
      <c r="G43" s="348"/>
      <c r="H43" s="348"/>
      <c r="I43" s="914">
        <v>0</v>
      </c>
      <c r="J43" s="914">
        <v>30280237.059782185</v>
      </c>
    </row>
    <row r="44" spans="1:15" ht="13.5" thickBot="1">
      <c r="A44" s="325">
        <v>28</v>
      </c>
      <c r="B44" s="349" t="s">
        <v>262</v>
      </c>
      <c r="C44" s="343">
        <f t="shared" ref="C44:I44" si="2">SUM(C31:C43)/13</f>
        <v>0</v>
      </c>
      <c r="D44" s="350">
        <f t="shared" si="2"/>
        <v>0</v>
      </c>
      <c r="E44" s="350" t="str">
        <f>+'4A - ADIT Summary'!M90</f>
        <v>Zero</v>
      </c>
      <c r="F44" s="343">
        <f>'4A - ADIT Summary'!M30</f>
        <v>-219350868.24589843</v>
      </c>
      <c r="G44" s="343">
        <f>'4A - ADIT Summary'!M34</f>
        <v>-10858700.546789054</v>
      </c>
      <c r="H44" s="343">
        <f>'4A - ADIT Summary'!M57</f>
        <v>9517133.7721804883</v>
      </c>
      <c r="I44" s="343">
        <f t="shared" si="2"/>
        <v>0</v>
      </c>
      <c r="J44" s="343">
        <f>SUM(J31:J43)/13</f>
        <v>30324231.779104345</v>
      </c>
    </row>
    <row r="45" spans="1:15" ht="13.5" thickTop="1">
      <c r="A45" s="325"/>
      <c r="B45" s="323" t="s">
        <v>704</v>
      </c>
      <c r="E45" s="1129"/>
      <c r="F45" s="1129"/>
      <c r="G45" s="1129"/>
      <c r="H45" s="1129"/>
      <c r="I45" s="345"/>
      <c r="J45" s="327"/>
    </row>
    <row r="46" spans="1:15">
      <c r="A46" s="325"/>
      <c r="J46" s="281"/>
    </row>
    <row r="47" spans="1:15">
      <c r="F47" s="151" t="s">
        <v>191</v>
      </c>
    </row>
    <row r="48" spans="1:15">
      <c r="A48" s="325"/>
      <c r="C48" s="351"/>
      <c r="D48" s="351"/>
      <c r="E48" s="351"/>
      <c r="F48" s="326" t="s">
        <v>260</v>
      </c>
      <c r="G48" s="351"/>
      <c r="L48" s="126"/>
      <c r="M48" s="126"/>
      <c r="N48" s="126"/>
      <c r="O48" s="126"/>
    </row>
    <row r="49" spans="1:16" ht="18" customHeight="1">
      <c r="A49" s="325"/>
      <c r="C49" s="351"/>
      <c r="D49" s="351"/>
      <c r="E49" s="351"/>
      <c r="F49" s="24" t="str">
        <f>'Attachment H-7'!$D$5</f>
        <v>PECO Energy Company</v>
      </c>
      <c r="G49" s="351"/>
      <c r="K49" s="126"/>
      <c r="L49" s="126"/>
      <c r="M49" s="126"/>
      <c r="N49" s="126"/>
      <c r="O49" s="126"/>
    </row>
    <row r="50" spans="1:16">
      <c r="A50" s="325"/>
      <c r="B50" s="281" t="s">
        <v>394</v>
      </c>
      <c r="C50" s="351"/>
      <c r="D50" s="351"/>
      <c r="E50" s="351"/>
      <c r="F50" s="24"/>
      <c r="G50" s="351"/>
      <c r="K50" s="126"/>
      <c r="L50" s="126"/>
      <c r="M50" s="126"/>
      <c r="N50" s="126"/>
      <c r="O50" s="126"/>
    </row>
    <row r="51" spans="1:16">
      <c r="A51" s="325"/>
      <c r="B51" s="281" t="s">
        <v>198</v>
      </c>
      <c r="C51" s="281" t="s">
        <v>199</v>
      </c>
      <c r="D51" s="281" t="s">
        <v>200</v>
      </c>
      <c r="E51" s="281" t="s">
        <v>201</v>
      </c>
      <c r="F51" s="281" t="s">
        <v>203</v>
      </c>
      <c r="G51" s="281" t="s">
        <v>202</v>
      </c>
      <c r="H51" s="281" t="s">
        <v>204</v>
      </c>
      <c r="I51" s="281" t="s">
        <v>205</v>
      </c>
      <c r="J51" s="327" t="s">
        <v>154</v>
      </c>
      <c r="L51" s="126"/>
      <c r="M51" s="126"/>
      <c r="N51" s="126"/>
      <c r="O51" s="126"/>
      <c r="P51" s="126"/>
    </row>
    <row r="52" spans="1:16" ht="65">
      <c r="A52" s="325">
        <v>29</v>
      </c>
      <c r="B52" s="352" t="s">
        <v>325</v>
      </c>
      <c r="C52" s="353"/>
      <c r="D52" s="354" t="s">
        <v>11</v>
      </c>
      <c r="E52" s="354" t="s">
        <v>1203</v>
      </c>
      <c r="F52" s="354" t="s">
        <v>326</v>
      </c>
      <c r="G52" s="354" t="s">
        <v>423</v>
      </c>
      <c r="H52" s="355" t="s">
        <v>327</v>
      </c>
      <c r="I52" s="355" t="s">
        <v>328</v>
      </c>
      <c r="J52" s="352"/>
      <c r="K52" s="352"/>
      <c r="L52" s="352"/>
      <c r="M52" s="356"/>
      <c r="N52" s="126"/>
      <c r="O52" s="126"/>
      <c r="P52" s="126"/>
    </row>
    <row r="53" spans="1:16">
      <c r="A53" s="325" t="s">
        <v>329</v>
      </c>
      <c r="B53" s="62"/>
      <c r="C53" s="904" t="s">
        <v>1180</v>
      </c>
      <c r="D53" s="1071">
        <v>-1267370.9883166072</v>
      </c>
      <c r="E53" s="905">
        <v>1</v>
      </c>
      <c r="F53" s="906">
        <v>1</v>
      </c>
      <c r="G53" s="907">
        <v>1</v>
      </c>
      <c r="H53" s="357">
        <f>'Attachment H-7'!I197</f>
        <v>9.9526966285675506E-2</v>
      </c>
      <c r="I53" s="358">
        <f>+H53*E53*D53*F53*G53</f>
        <v>-126137.58962563021</v>
      </c>
      <c r="J53" s="352"/>
      <c r="K53" s="62"/>
      <c r="L53" s="62"/>
      <c r="M53" s="356"/>
      <c r="N53" s="126"/>
      <c r="O53" s="126"/>
      <c r="P53" s="126"/>
    </row>
    <row r="54" spans="1:16">
      <c r="A54" s="325" t="s">
        <v>330</v>
      </c>
      <c r="B54" s="62"/>
      <c r="C54" s="904" t="s">
        <v>1181</v>
      </c>
      <c r="D54" s="1071">
        <v>-850020.26455021894</v>
      </c>
      <c r="E54" s="905">
        <v>1</v>
      </c>
      <c r="F54" s="906">
        <v>1</v>
      </c>
      <c r="G54" s="907">
        <v>1</v>
      </c>
      <c r="H54" s="357">
        <f>H53</f>
        <v>9.9526966285675506E-2</v>
      </c>
      <c r="I54" s="358">
        <f t="shared" ref="I54:I66" si="3">+H54*E54*D54*F54*G54</f>
        <v>-84599.938212030611</v>
      </c>
      <c r="J54" s="352"/>
      <c r="K54" s="62"/>
      <c r="L54" s="62"/>
      <c r="M54" s="356"/>
      <c r="N54" s="126"/>
      <c r="O54" s="126"/>
      <c r="P54" s="126"/>
    </row>
    <row r="55" spans="1:16">
      <c r="A55" s="325" t="s">
        <v>331</v>
      </c>
      <c r="B55" s="62"/>
      <c r="C55" s="904" t="s">
        <v>885</v>
      </c>
      <c r="D55" s="1071">
        <v>-1102666.1806109431</v>
      </c>
      <c r="E55" s="905">
        <v>1</v>
      </c>
      <c r="F55" s="906">
        <v>1</v>
      </c>
      <c r="G55" s="907">
        <v>1</v>
      </c>
      <c r="H55" s="357">
        <f t="shared" ref="H55:H58" si="4">H54</f>
        <v>9.9526966285675506E-2</v>
      </c>
      <c r="I55" s="358">
        <f t="shared" si="3"/>
        <v>-109745.01978201991</v>
      </c>
      <c r="J55" s="352"/>
      <c r="K55" s="62"/>
      <c r="L55" s="62"/>
      <c r="M55" s="356"/>
      <c r="N55" s="126"/>
      <c r="O55" s="126"/>
      <c r="P55" s="126"/>
    </row>
    <row r="56" spans="1:16">
      <c r="A56" s="325" t="s">
        <v>332</v>
      </c>
      <c r="B56" s="62"/>
      <c r="C56" s="904" t="s">
        <v>886</v>
      </c>
      <c r="D56" s="1071">
        <v>-8574176.0096604042</v>
      </c>
      <c r="E56" s="905">
        <v>1</v>
      </c>
      <c r="F56" s="906">
        <v>1</v>
      </c>
      <c r="G56" s="907">
        <v>1</v>
      </c>
      <c r="H56" s="357">
        <f t="shared" si="4"/>
        <v>9.9526966285675506E-2</v>
      </c>
      <c r="I56" s="358">
        <f t="shared" si="3"/>
        <v>-853361.72664091876</v>
      </c>
      <c r="J56" s="352"/>
      <c r="K56" s="62"/>
      <c r="L56" s="62"/>
      <c r="M56" s="356"/>
      <c r="N56" s="126"/>
      <c r="O56" s="126"/>
      <c r="P56" s="126"/>
    </row>
    <row r="57" spans="1:16">
      <c r="A57" s="325" t="s">
        <v>333</v>
      </c>
      <c r="B57" s="62"/>
      <c r="C57" s="904" t="s">
        <v>887</v>
      </c>
      <c r="D57" s="1071">
        <v>0</v>
      </c>
      <c r="E57" s="905">
        <v>1</v>
      </c>
      <c r="F57" s="906">
        <v>1</v>
      </c>
      <c r="G57" s="907">
        <v>1</v>
      </c>
      <c r="H57" s="357">
        <f t="shared" si="4"/>
        <v>9.9526966285675506E-2</v>
      </c>
      <c r="I57" s="358">
        <f t="shared" si="3"/>
        <v>0</v>
      </c>
      <c r="J57" s="352"/>
      <c r="K57" s="62"/>
      <c r="L57" s="62"/>
      <c r="M57" s="356"/>
      <c r="N57" s="126"/>
      <c r="O57" s="126"/>
      <c r="P57" s="126"/>
    </row>
    <row r="58" spans="1:16">
      <c r="A58" s="325" t="s">
        <v>334</v>
      </c>
      <c r="B58" s="62"/>
      <c r="C58" s="904" t="s">
        <v>796</v>
      </c>
      <c r="D58" s="1071">
        <v>-21598352.580694981</v>
      </c>
      <c r="E58" s="905">
        <v>1</v>
      </c>
      <c r="F58" s="906">
        <v>1</v>
      </c>
      <c r="G58" s="907">
        <v>1</v>
      </c>
      <c r="H58" s="357">
        <f t="shared" si="4"/>
        <v>9.9526966285675506E-2</v>
      </c>
      <c r="I58" s="358">
        <f t="shared" si="3"/>
        <v>-2149618.5091249617</v>
      </c>
      <c r="J58" s="352"/>
      <c r="K58" s="62"/>
      <c r="L58" s="62"/>
      <c r="M58" s="356"/>
      <c r="N58" s="126"/>
      <c r="O58" s="126"/>
      <c r="P58" s="126"/>
    </row>
    <row r="59" spans="1:16">
      <c r="A59" s="325" t="s">
        <v>1123</v>
      </c>
      <c r="B59" s="62"/>
      <c r="C59" s="904" t="s">
        <v>888</v>
      </c>
      <c r="D59" s="1071">
        <v>0</v>
      </c>
      <c r="E59" s="905">
        <v>1</v>
      </c>
      <c r="F59" s="906">
        <v>1</v>
      </c>
      <c r="G59" s="907">
        <v>1</v>
      </c>
      <c r="H59" s="357">
        <v>1</v>
      </c>
      <c r="I59" s="358">
        <f t="shared" si="3"/>
        <v>0</v>
      </c>
      <c r="J59" s="352"/>
      <c r="K59" s="62"/>
      <c r="L59" s="62"/>
      <c r="M59" s="356"/>
      <c r="N59" s="126"/>
      <c r="O59" s="126"/>
      <c r="P59" s="126"/>
    </row>
    <row r="60" spans="1:16">
      <c r="A60" s="325" t="s">
        <v>1124</v>
      </c>
      <c r="B60" s="62"/>
      <c r="C60" s="908" t="s">
        <v>1545</v>
      </c>
      <c r="D60" s="1071">
        <v>-23053706.987638026</v>
      </c>
      <c r="E60" s="905">
        <v>1</v>
      </c>
      <c r="F60" s="906">
        <v>1</v>
      </c>
      <c r="G60" s="907">
        <v>1</v>
      </c>
      <c r="H60" s="357">
        <f>H58</f>
        <v>9.9526966285675506E-2</v>
      </c>
      <c r="I60" s="358">
        <f t="shared" si="3"/>
        <v>-2294465.5181184919</v>
      </c>
      <c r="J60" s="352"/>
      <c r="K60" s="62"/>
      <c r="L60" s="62"/>
      <c r="M60" s="356"/>
      <c r="N60" s="126"/>
      <c r="O60" s="126"/>
      <c r="P60" s="126"/>
    </row>
    <row r="61" spans="1:16">
      <c r="A61" s="325" t="s">
        <v>1190</v>
      </c>
      <c r="B61" s="62"/>
      <c r="C61" s="908" t="s">
        <v>1546</v>
      </c>
      <c r="D61" s="1071">
        <v>-2000484.512277293</v>
      </c>
      <c r="E61" s="905">
        <v>1</v>
      </c>
      <c r="F61" s="906">
        <v>1</v>
      </c>
      <c r="G61" s="907">
        <v>1</v>
      </c>
      <c r="H61" s="357">
        <f>H60</f>
        <v>9.9526966285675506E-2</v>
      </c>
      <c r="I61" s="358">
        <f t="shared" si="3"/>
        <v>-199102.15460843814</v>
      </c>
      <c r="J61" s="352"/>
      <c r="K61" s="62"/>
      <c r="L61" s="62"/>
      <c r="M61" s="356"/>
      <c r="N61" s="126"/>
      <c r="O61" s="126"/>
      <c r="P61" s="126"/>
    </row>
    <row r="62" spans="1:16">
      <c r="A62" s="325" t="s">
        <v>1191</v>
      </c>
      <c r="B62" s="62"/>
      <c r="C62" s="908" t="s">
        <v>1547</v>
      </c>
      <c r="D62" s="1071">
        <v>-1071549.1192910785</v>
      </c>
      <c r="E62" s="905">
        <v>1</v>
      </c>
      <c r="F62" s="906">
        <v>1</v>
      </c>
      <c r="G62" s="907">
        <v>1</v>
      </c>
      <c r="H62" s="357">
        <f>H61</f>
        <v>9.9526966285675506E-2</v>
      </c>
      <c r="I62" s="358">
        <f t="shared" si="3"/>
        <v>-106648.03306912845</v>
      </c>
      <c r="J62" s="352"/>
      <c r="K62" s="62"/>
      <c r="L62" s="62"/>
      <c r="M62" s="356"/>
      <c r="N62" s="126"/>
      <c r="O62" s="126"/>
      <c r="P62" s="126"/>
    </row>
    <row r="63" spans="1:16">
      <c r="A63" s="325" t="s">
        <v>1510</v>
      </c>
      <c r="B63" s="62"/>
      <c r="C63" s="908" t="s">
        <v>1548</v>
      </c>
      <c r="D63" s="1071">
        <v>-268681.67693283118</v>
      </c>
      <c r="E63" s="905">
        <v>1</v>
      </c>
      <c r="F63" s="906">
        <v>1</v>
      </c>
      <c r="G63" s="907">
        <v>1</v>
      </c>
      <c r="H63" s="357">
        <f t="shared" ref="H63:H66" si="5">H62</f>
        <v>9.9526966285675506E-2</v>
      </c>
      <c r="I63" s="358">
        <f t="shared" si="3"/>
        <v>-26741.072201672647</v>
      </c>
      <c r="J63" s="352"/>
      <c r="K63" s="62"/>
      <c r="L63" s="62"/>
      <c r="M63" s="356"/>
      <c r="N63" s="126"/>
      <c r="O63" s="126"/>
      <c r="P63" s="126"/>
    </row>
    <row r="64" spans="1:16">
      <c r="A64" s="325" t="s">
        <v>1508</v>
      </c>
      <c r="B64" s="62"/>
      <c r="C64" s="908" t="s">
        <v>1549</v>
      </c>
      <c r="D64" s="1071">
        <v>-3335216.52278677</v>
      </c>
      <c r="E64" s="905">
        <v>1</v>
      </c>
      <c r="F64" s="906">
        <v>1</v>
      </c>
      <c r="G64" s="907">
        <v>1</v>
      </c>
      <c r="H64" s="357">
        <f t="shared" si="5"/>
        <v>9.9526966285675506E-2</v>
      </c>
      <c r="I64" s="358">
        <f t="shared" si="3"/>
        <v>-331943.98241882672</v>
      </c>
      <c r="J64" s="352"/>
      <c r="K64" s="62"/>
      <c r="L64" s="62"/>
      <c r="M64" s="356"/>
      <c r="N64" s="126"/>
      <c r="O64" s="126"/>
      <c r="P64" s="126"/>
    </row>
    <row r="65" spans="1:16">
      <c r="A65" s="325" t="s">
        <v>1509</v>
      </c>
      <c r="B65" s="62"/>
      <c r="C65" s="908" t="s">
        <v>1550</v>
      </c>
      <c r="D65" s="1071">
        <v>-48434.015916467011</v>
      </c>
      <c r="E65" s="905">
        <v>1</v>
      </c>
      <c r="F65" s="906">
        <v>1</v>
      </c>
      <c r="G65" s="907">
        <v>1</v>
      </c>
      <c r="H65" s="357">
        <f t="shared" si="5"/>
        <v>9.9526966285675506E-2</v>
      </c>
      <c r="I65" s="358">
        <f t="shared" si="3"/>
        <v>-4820.4906691980832</v>
      </c>
      <c r="J65" s="352"/>
      <c r="K65" s="62"/>
      <c r="L65" s="62"/>
      <c r="M65" s="356"/>
      <c r="N65" s="126"/>
      <c r="O65" s="126"/>
      <c r="P65" s="126"/>
    </row>
    <row r="66" spans="1:16">
      <c r="A66" s="325" t="s">
        <v>1573</v>
      </c>
      <c r="B66" s="62"/>
      <c r="C66" s="908" t="s">
        <v>1574</v>
      </c>
      <c r="D66" s="1071">
        <v>-4641329.3477196759</v>
      </c>
      <c r="E66" s="905">
        <v>1</v>
      </c>
      <c r="F66" s="906">
        <v>1</v>
      </c>
      <c r="G66" s="907">
        <v>1</v>
      </c>
      <c r="H66" s="357">
        <f t="shared" si="5"/>
        <v>9.9526966285675506E-2</v>
      </c>
      <c r="I66" s="358">
        <f t="shared" si="3"/>
        <v>-461937.42951121245</v>
      </c>
      <c r="J66" s="352"/>
      <c r="K66" s="62"/>
      <c r="L66" s="62"/>
      <c r="M66" s="356"/>
      <c r="N66" s="126"/>
      <c r="O66" s="126"/>
      <c r="P66" s="126"/>
    </row>
    <row r="67" spans="1:16" ht="50.15" hidden="1" customHeight="1">
      <c r="A67" s="325"/>
      <c r="B67" s="62"/>
      <c r="C67" s="908"/>
      <c r="D67" s="909"/>
      <c r="E67" s="905">
        <v>1</v>
      </c>
      <c r="F67" s="906">
        <v>1</v>
      </c>
      <c r="G67" s="907">
        <v>1</v>
      </c>
      <c r="H67" s="357"/>
      <c r="I67" s="358"/>
      <c r="J67" s="352"/>
      <c r="K67" s="62"/>
      <c r="L67" s="62"/>
      <c r="M67" s="356"/>
      <c r="N67" s="126"/>
      <c r="O67" s="126"/>
      <c r="P67" s="126"/>
    </row>
    <row r="68" spans="1:16" ht="50.15" hidden="1" customHeight="1">
      <c r="A68" s="325"/>
      <c r="B68" s="62"/>
      <c r="C68" s="908"/>
      <c r="D68" s="909"/>
      <c r="E68" s="905">
        <v>1</v>
      </c>
      <c r="F68" s="906">
        <v>1</v>
      </c>
      <c r="G68" s="907">
        <v>1</v>
      </c>
      <c r="H68" s="357"/>
      <c r="I68" s="358"/>
      <c r="J68" s="352"/>
      <c r="K68" s="62"/>
      <c r="L68" s="62"/>
      <c r="M68" s="356"/>
      <c r="N68" s="126"/>
      <c r="O68" s="126"/>
      <c r="P68" s="126"/>
    </row>
    <row r="69" spans="1:16" ht="50.15" hidden="1" customHeight="1">
      <c r="A69" s="325"/>
      <c r="B69" s="62"/>
      <c r="C69" s="904"/>
      <c r="D69" s="876"/>
      <c r="E69" s="905">
        <v>1</v>
      </c>
      <c r="F69" s="906">
        <v>1</v>
      </c>
      <c r="G69" s="907">
        <v>1</v>
      </c>
      <c r="H69" s="178"/>
      <c r="I69" s="358"/>
      <c r="J69" s="352"/>
      <c r="K69" s="62"/>
      <c r="L69" s="62"/>
      <c r="M69" s="356"/>
      <c r="N69" s="126"/>
      <c r="O69" s="126"/>
      <c r="P69" s="126"/>
    </row>
    <row r="70" spans="1:16" ht="50.15" customHeight="1">
      <c r="A70" s="325" t="s">
        <v>1073</v>
      </c>
      <c r="B70" s="62"/>
      <c r="C70" s="910" t="s">
        <v>296</v>
      </c>
      <c r="D70" s="911">
        <v>0</v>
      </c>
      <c r="E70" s="912">
        <v>0</v>
      </c>
      <c r="F70" s="913"/>
      <c r="G70" s="913"/>
      <c r="H70" s="359"/>
      <c r="I70" s="360">
        <f>+H70*E70*D70</f>
        <v>0</v>
      </c>
      <c r="J70" s="352"/>
      <c r="K70" s="62"/>
      <c r="L70" s="62"/>
      <c r="M70" s="356"/>
      <c r="N70" s="126"/>
      <c r="O70" s="126"/>
      <c r="P70" s="126"/>
    </row>
    <row r="71" spans="1:16" ht="50.15" customHeight="1">
      <c r="A71" s="325">
        <v>31</v>
      </c>
      <c r="B71" s="62"/>
      <c r="C71" s="352" t="s">
        <v>13</v>
      </c>
      <c r="D71" s="56">
        <f>SUM(D53:D70)</f>
        <v>-67811988.206395298</v>
      </c>
      <c r="E71" s="162"/>
      <c r="F71" s="126"/>
      <c r="G71" s="126"/>
      <c r="H71" s="162"/>
      <c r="I71" s="358">
        <f>SUM(I53:I70)</f>
        <v>-6749121.4639825299</v>
      </c>
      <c r="J71" s="352"/>
      <c r="K71" s="62"/>
      <c r="L71" s="62"/>
      <c r="M71" s="356"/>
      <c r="N71" s="126"/>
      <c r="O71" s="126"/>
      <c r="P71" s="126"/>
    </row>
    <row r="72" spans="1:16" ht="3.65" customHeight="1">
      <c r="A72" s="361"/>
      <c r="B72" s="362"/>
      <c r="C72" s="363"/>
      <c r="D72" s="363"/>
      <c r="E72" s="363"/>
      <c r="F72" s="363"/>
      <c r="G72" s="363"/>
      <c r="I72" s="62"/>
      <c r="J72" s="62"/>
      <c r="K72" s="62"/>
    </row>
    <row r="73" spans="1:16" ht="3.65" customHeight="1">
      <c r="A73" s="361"/>
      <c r="B73" s="362"/>
      <c r="C73" s="363"/>
      <c r="D73" s="363"/>
      <c r="E73" s="363"/>
      <c r="F73" s="363"/>
      <c r="G73" s="363"/>
      <c r="L73" s="126"/>
      <c r="M73" s="126"/>
      <c r="N73" s="126"/>
      <c r="O73" s="126"/>
      <c r="P73" s="126"/>
    </row>
    <row r="74" spans="1:16" ht="3.65" customHeight="1">
      <c r="A74" s="361"/>
      <c r="B74" s="362"/>
      <c r="C74" s="363"/>
      <c r="D74" s="363"/>
      <c r="E74" s="363"/>
      <c r="F74" s="363"/>
      <c r="G74" s="363"/>
      <c r="L74" s="126"/>
      <c r="M74" s="126"/>
      <c r="N74" s="126"/>
      <c r="O74" s="126"/>
      <c r="P74" s="126"/>
    </row>
    <row r="75" spans="1:16" ht="13.5" thickBot="1">
      <c r="A75" s="364" t="s">
        <v>182</v>
      </c>
    </row>
    <row r="76" spans="1:16" ht="12.75" customHeight="1">
      <c r="A76" s="325" t="s">
        <v>58</v>
      </c>
      <c r="B76" s="1107" t="s">
        <v>335</v>
      </c>
      <c r="C76" s="1107"/>
      <c r="D76" s="1107"/>
      <c r="E76" s="1107"/>
      <c r="F76" s="1107"/>
      <c r="G76" s="1107"/>
      <c r="H76" s="1107"/>
      <c r="I76" s="1107"/>
      <c r="J76" s="1107"/>
      <c r="K76" s="1107"/>
    </row>
    <row r="77" spans="1:16" ht="12.75" customHeight="1">
      <c r="A77" s="325" t="s">
        <v>59</v>
      </c>
      <c r="B77" s="1107" t="s">
        <v>395</v>
      </c>
      <c r="C77" s="1107"/>
      <c r="D77" s="1107"/>
      <c r="E77" s="1107"/>
      <c r="F77" s="1107"/>
      <c r="G77" s="1107"/>
      <c r="H77" s="1107"/>
      <c r="I77" s="1107"/>
      <c r="J77" s="1107"/>
      <c r="K77" s="1107"/>
      <c r="L77" s="327"/>
    </row>
    <row r="78" spans="1:16" ht="12.75" customHeight="1">
      <c r="A78" s="325" t="s">
        <v>60</v>
      </c>
      <c r="B78" s="21" t="s">
        <v>396</v>
      </c>
      <c r="C78" s="365"/>
      <c r="D78" s="365"/>
      <c r="E78" s="365"/>
      <c r="F78" s="365"/>
      <c r="G78" s="365"/>
      <c r="H78" s="365"/>
      <c r="I78" s="365"/>
      <c r="J78" s="365"/>
      <c r="K78" s="365"/>
    </row>
    <row r="79" spans="1:16">
      <c r="A79" s="325"/>
      <c r="B79" s="366" t="s">
        <v>664</v>
      </c>
      <c r="C79" s="978"/>
      <c r="D79" s="978"/>
      <c r="E79" s="978"/>
      <c r="F79" s="978"/>
      <c r="G79" s="978"/>
      <c r="H79" s="978"/>
      <c r="I79" s="978"/>
      <c r="J79" s="978"/>
      <c r="K79" s="978"/>
    </row>
    <row r="80" spans="1:16">
      <c r="A80" s="325"/>
      <c r="B80" s="366" t="s">
        <v>665</v>
      </c>
      <c r="C80" s="978"/>
      <c r="D80" s="978"/>
      <c r="E80" s="978"/>
      <c r="F80" s="978"/>
      <c r="G80" s="978"/>
      <c r="H80" s="978"/>
      <c r="I80" s="978"/>
      <c r="J80" s="978"/>
      <c r="K80" s="978"/>
    </row>
    <row r="81" spans="1:11" ht="12.75" customHeight="1">
      <c r="A81" s="325" t="s">
        <v>61</v>
      </c>
      <c r="B81" s="21" t="s">
        <v>1092</v>
      </c>
    </row>
    <row r="82" spans="1:11" ht="30" customHeight="1">
      <c r="A82" s="319" t="s">
        <v>62</v>
      </c>
      <c r="B82" s="1121" t="s">
        <v>435</v>
      </c>
      <c r="C82" s="1121"/>
      <c r="D82" s="1121"/>
      <c r="E82" s="1121"/>
      <c r="F82" s="1121"/>
      <c r="G82" s="1121"/>
      <c r="H82" s="1121"/>
      <c r="I82" s="1121"/>
      <c r="J82" s="1121"/>
      <c r="K82" s="977"/>
    </row>
    <row r="83" spans="1:11" ht="12.75" customHeight="1">
      <c r="A83" s="325" t="s">
        <v>63</v>
      </c>
      <c r="B83" s="1130" t="s">
        <v>336</v>
      </c>
      <c r="C83" s="1130"/>
      <c r="D83" s="1130"/>
      <c r="E83" s="1130"/>
      <c r="F83" s="1130"/>
      <c r="G83" s="1130"/>
      <c r="H83" s="1130"/>
      <c r="I83" s="1130"/>
      <c r="J83" s="1130"/>
      <c r="K83" s="1130"/>
    </row>
    <row r="84" spans="1:11" ht="43.5" customHeight="1">
      <c r="A84" s="319" t="s">
        <v>64</v>
      </c>
      <c r="B84" s="1121" t="s">
        <v>397</v>
      </c>
      <c r="C84" s="1121"/>
      <c r="D84" s="1121"/>
      <c r="E84" s="1121"/>
      <c r="F84" s="1121"/>
      <c r="G84" s="1121"/>
      <c r="H84" s="1121"/>
      <c r="I84" s="1121"/>
      <c r="J84" s="1121"/>
      <c r="K84" s="977"/>
    </row>
    <row r="85" spans="1:11">
      <c r="A85" s="325" t="s">
        <v>65</v>
      </c>
      <c r="B85" s="367" t="s">
        <v>1125</v>
      </c>
    </row>
    <row r="86" spans="1:11">
      <c r="A86" s="325" t="s">
        <v>66</v>
      </c>
      <c r="B86" s="21" t="s">
        <v>448</v>
      </c>
    </row>
    <row r="87" spans="1:11">
      <c r="A87" s="325" t="s">
        <v>67</v>
      </c>
      <c r="B87" s="21" t="s">
        <v>1086</v>
      </c>
    </row>
    <row r="88" spans="1:11" ht="42.65" customHeight="1">
      <c r="A88" s="319" t="s">
        <v>99</v>
      </c>
      <c r="B88" s="1121" t="s">
        <v>1128</v>
      </c>
      <c r="C88" s="1121"/>
      <c r="D88" s="1121"/>
      <c r="E88" s="1121"/>
      <c r="F88" s="1121"/>
      <c r="G88" s="1121"/>
      <c r="H88" s="1121"/>
      <c r="I88" s="1121"/>
      <c r="J88" s="1121"/>
    </row>
    <row r="89" spans="1:11" ht="30" customHeight="1">
      <c r="A89" s="319" t="s">
        <v>1488</v>
      </c>
      <c r="B89" s="1121" t="s">
        <v>1496</v>
      </c>
      <c r="C89" s="1121"/>
      <c r="D89" s="1121"/>
      <c r="E89" s="1121"/>
      <c r="F89" s="1121"/>
      <c r="G89" s="1121"/>
      <c r="H89" s="1121"/>
      <c r="I89" s="1121"/>
      <c r="J89" s="1121"/>
    </row>
    <row r="90" spans="1:11" ht="32.15" customHeight="1">
      <c r="C90" s="979" t="s">
        <v>45</v>
      </c>
      <c r="D90" s="979" t="s">
        <v>1274</v>
      </c>
      <c r="E90" s="979" t="s">
        <v>1340</v>
      </c>
      <c r="F90" s="979" t="s">
        <v>698</v>
      </c>
      <c r="G90" s="979" t="s">
        <v>1275</v>
      </c>
      <c r="H90" s="979" t="s">
        <v>1276</v>
      </c>
      <c r="J90" s="903" t="s">
        <v>1391</v>
      </c>
      <c r="K90" s="903" t="s">
        <v>1392</v>
      </c>
    </row>
    <row r="91" spans="1:11">
      <c r="A91" s="322" t="s">
        <v>1277</v>
      </c>
      <c r="B91" s="1072" t="s">
        <v>1268</v>
      </c>
      <c r="C91" s="1072" t="s">
        <v>1390</v>
      </c>
      <c r="D91" s="900">
        <v>131.21999999999753</v>
      </c>
      <c r="E91" s="900">
        <v>131.3100000000486</v>
      </c>
      <c r="F91" s="42">
        <f>J91*K91</f>
        <v>7.7531506736541217E-2</v>
      </c>
      <c r="G91" s="900">
        <v>10.173684313968746</v>
      </c>
      <c r="H91" s="900">
        <v>10.180662149578996</v>
      </c>
      <c r="J91" s="981">
        <v>0.77900000000000003</v>
      </c>
      <c r="K91" s="981">
        <v>9.9526966285675506E-2</v>
      </c>
    </row>
    <row r="92" spans="1:11">
      <c r="A92" s="322" t="s">
        <v>1278</v>
      </c>
      <c r="B92" s="1072" t="s">
        <v>1568</v>
      </c>
      <c r="C92" s="1072" t="s">
        <v>852</v>
      </c>
      <c r="D92" s="900">
        <v>4981.854999999975</v>
      </c>
      <c r="E92" s="900">
        <v>4507.4049999999752</v>
      </c>
      <c r="F92" s="42">
        <f>J92*K92</f>
        <v>0</v>
      </c>
      <c r="G92" s="900">
        <v>0</v>
      </c>
      <c r="H92" s="900">
        <v>0</v>
      </c>
      <c r="J92" s="981">
        <v>0</v>
      </c>
      <c r="K92" s="981">
        <v>0</v>
      </c>
    </row>
    <row r="93" spans="1:11">
      <c r="A93" s="322" t="s">
        <v>1279</v>
      </c>
      <c r="B93" s="1072" t="s">
        <v>1569</v>
      </c>
      <c r="C93" s="1072" t="s">
        <v>853</v>
      </c>
      <c r="D93" s="900">
        <v>14945.564999999924</v>
      </c>
      <c r="E93" s="900">
        <v>13522.214999999924</v>
      </c>
      <c r="F93" s="42">
        <f t="shared" ref="F93:F114" si="6">J93*K93</f>
        <v>1</v>
      </c>
      <c r="G93" s="900">
        <v>14945.564999999924</v>
      </c>
      <c r="H93" s="900">
        <v>13522.214999999924</v>
      </c>
      <c r="J93" s="981">
        <v>1</v>
      </c>
      <c r="K93" s="981">
        <v>1</v>
      </c>
    </row>
    <row r="94" spans="1:11">
      <c r="A94" s="322" t="s">
        <v>1280</v>
      </c>
      <c r="B94" s="1072" t="s">
        <v>1269</v>
      </c>
      <c r="C94" s="1072" t="s">
        <v>1390</v>
      </c>
      <c r="D94" s="900">
        <v>363201.95000000019</v>
      </c>
      <c r="E94" s="900">
        <v>392773.10000000021</v>
      </c>
      <c r="F94" s="42">
        <f t="shared" si="6"/>
        <v>7.8408051043544313E-2</v>
      </c>
      <c r="G94" s="900">
        <v>28477.957034714844</v>
      </c>
      <c r="H94" s="900">
        <v>30796.573273331152</v>
      </c>
      <c r="J94" s="981">
        <v>0.78780710363950135</v>
      </c>
      <c r="K94" s="981">
        <v>9.9526966285675506E-2</v>
      </c>
    </row>
    <row r="95" spans="1:11">
      <c r="A95" s="322" t="s">
        <v>1281</v>
      </c>
      <c r="B95" s="1072" t="s">
        <v>1270</v>
      </c>
      <c r="C95" s="1072" t="s">
        <v>852</v>
      </c>
      <c r="D95" s="900">
        <v>75000</v>
      </c>
      <c r="E95" s="900">
        <v>-0.20000000027357601</v>
      </c>
      <c r="F95" s="42">
        <f t="shared" si="6"/>
        <v>0</v>
      </c>
      <c r="G95" s="900">
        <v>0</v>
      </c>
      <c r="H95" s="900">
        <v>0</v>
      </c>
      <c r="J95" s="981">
        <v>0</v>
      </c>
      <c r="K95" s="981">
        <v>0</v>
      </c>
    </row>
    <row r="96" spans="1:11">
      <c r="A96" s="322" t="s">
        <v>1282</v>
      </c>
      <c r="B96" s="1072" t="s">
        <v>1537</v>
      </c>
      <c r="C96" s="1072" t="s">
        <v>1390</v>
      </c>
      <c r="D96" s="900">
        <v>96123.359999999651</v>
      </c>
      <c r="E96" s="900">
        <v>96123.099999999657</v>
      </c>
      <c r="F96" s="42">
        <f>J96*K96</f>
        <v>7.7531506736541217E-2</v>
      </c>
      <c r="G96" s="900">
        <v>7452.5889333789492</v>
      </c>
      <c r="H96" s="900">
        <v>7452.5687751871983</v>
      </c>
      <c r="J96" s="981">
        <v>0.77900000000000003</v>
      </c>
      <c r="K96" s="981">
        <v>9.9526966285675506E-2</v>
      </c>
    </row>
    <row r="97" spans="1:11">
      <c r="A97" s="322" t="s">
        <v>1283</v>
      </c>
      <c r="B97" s="1072" t="s">
        <v>1537</v>
      </c>
      <c r="C97" s="1072" t="s">
        <v>853</v>
      </c>
      <c r="D97" s="900">
        <v>0</v>
      </c>
      <c r="E97" s="900">
        <v>24619.459760000002</v>
      </c>
      <c r="F97" s="42">
        <f t="shared" si="6"/>
        <v>1</v>
      </c>
      <c r="G97" s="900">
        <v>0</v>
      </c>
      <c r="H97" s="900">
        <v>24619.459760000002</v>
      </c>
      <c r="J97" s="981">
        <v>1</v>
      </c>
      <c r="K97" s="981">
        <v>1</v>
      </c>
    </row>
    <row r="98" spans="1:11">
      <c r="A98" s="322" t="s">
        <v>1284</v>
      </c>
      <c r="B98" s="1072" t="s">
        <v>1537</v>
      </c>
      <c r="C98" s="1072" t="s">
        <v>852</v>
      </c>
      <c r="D98" s="900">
        <v>683862.46</v>
      </c>
      <c r="E98" s="900">
        <v>834543.64024000056</v>
      </c>
      <c r="F98" s="42">
        <f>J98*K98</f>
        <v>0</v>
      </c>
      <c r="G98" s="900">
        <v>0</v>
      </c>
      <c r="H98" s="900">
        <v>0</v>
      </c>
      <c r="J98" s="981">
        <v>0</v>
      </c>
      <c r="K98" s="981">
        <v>0</v>
      </c>
    </row>
    <row r="99" spans="1:11">
      <c r="A99" s="322" t="s">
        <v>1285</v>
      </c>
      <c r="B99" s="1072" t="s">
        <v>1271</v>
      </c>
      <c r="C99" s="1072" t="s">
        <v>853</v>
      </c>
      <c r="D99" s="900">
        <v>651994.43999999983</v>
      </c>
      <c r="E99" s="900">
        <v>727297.71</v>
      </c>
      <c r="F99" s="42">
        <f t="shared" si="6"/>
        <v>0</v>
      </c>
      <c r="G99" s="900">
        <v>0</v>
      </c>
      <c r="H99" s="900">
        <v>0</v>
      </c>
      <c r="J99" s="981">
        <v>0</v>
      </c>
      <c r="K99" s="981">
        <v>0</v>
      </c>
    </row>
    <row r="100" spans="1:11">
      <c r="A100" s="322" t="s">
        <v>1286</v>
      </c>
      <c r="B100" s="1072" t="s">
        <v>1538</v>
      </c>
      <c r="C100" s="1072" t="s">
        <v>852</v>
      </c>
      <c r="D100" s="900">
        <v>462161.71744666569</v>
      </c>
      <c r="E100" s="900">
        <v>926323.01289000025</v>
      </c>
      <c r="F100" s="42">
        <f>J100*K100</f>
        <v>1</v>
      </c>
      <c r="G100" s="900">
        <v>462161.71744666569</v>
      </c>
      <c r="H100" s="900">
        <v>926323.01289000025</v>
      </c>
      <c r="J100" s="981">
        <v>1</v>
      </c>
      <c r="K100" s="981">
        <v>1</v>
      </c>
    </row>
    <row r="101" spans="1:11">
      <c r="A101" s="322" t="s">
        <v>1287</v>
      </c>
      <c r="B101" s="1072" t="s">
        <v>1538</v>
      </c>
      <c r="C101" s="1072" t="s">
        <v>852</v>
      </c>
      <c r="D101" s="900">
        <v>210389.99921999962</v>
      </c>
      <c r="E101" s="900">
        <v>324039.20377665444</v>
      </c>
      <c r="F101" s="42">
        <f t="shared" si="6"/>
        <v>0</v>
      </c>
      <c r="G101" s="900">
        <v>0</v>
      </c>
      <c r="H101" s="900">
        <v>0</v>
      </c>
      <c r="J101" s="981">
        <v>0</v>
      </c>
      <c r="K101" s="981">
        <v>0</v>
      </c>
    </row>
    <row r="102" spans="1:11">
      <c r="A102" s="322" t="s">
        <v>1288</v>
      </c>
      <c r="B102" s="1072" t="s">
        <v>1513</v>
      </c>
      <c r="C102" s="1072" t="s">
        <v>1390</v>
      </c>
      <c r="D102" s="900">
        <v>-165457.64999997243</v>
      </c>
      <c r="E102" s="900">
        <v>1235323.6200000364</v>
      </c>
      <c r="F102" s="42">
        <f t="shared" si="6"/>
        <v>0</v>
      </c>
      <c r="G102" s="900">
        <v>0</v>
      </c>
      <c r="H102" s="900">
        <v>0</v>
      </c>
      <c r="J102" s="981">
        <v>0</v>
      </c>
      <c r="K102" s="981">
        <v>0</v>
      </c>
    </row>
    <row r="103" spans="1:11">
      <c r="A103" s="322" t="s">
        <v>1289</v>
      </c>
      <c r="B103" s="1072" t="s">
        <v>1272</v>
      </c>
      <c r="C103" s="1072" t="s">
        <v>852</v>
      </c>
      <c r="D103" s="900">
        <v>165655.150000002</v>
      </c>
      <c r="E103" s="900">
        <v>68459.770000001299</v>
      </c>
      <c r="F103" s="42">
        <f t="shared" si="6"/>
        <v>7.7531506736541217E-2</v>
      </c>
      <c r="G103" s="900">
        <v>12843.493378167901</v>
      </c>
      <c r="H103" s="900">
        <v>5307.789118937163</v>
      </c>
      <c r="J103" s="981">
        <v>0.77900000000000003</v>
      </c>
      <c r="K103" s="981">
        <v>9.9526966285675506E-2</v>
      </c>
    </row>
    <row r="104" spans="1:11">
      <c r="A104" s="322" t="s">
        <v>1290</v>
      </c>
      <c r="B104" s="1072" t="s">
        <v>1570</v>
      </c>
      <c r="C104" s="1072" t="s">
        <v>1390</v>
      </c>
      <c r="D104" s="900">
        <v>4900163.7699999958</v>
      </c>
      <c r="E104" s="900">
        <v>5219781.7599999961</v>
      </c>
      <c r="F104" s="42">
        <f t="shared" si="6"/>
        <v>0</v>
      </c>
      <c r="G104" s="900">
        <v>0</v>
      </c>
      <c r="H104" s="900">
        <v>0</v>
      </c>
      <c r="J104" s="981">
        <v>0</v>
      </c>
      <c r="K104" s="981">
        <v>0</v>
      </c>
    </row>
    <row r="105" spans="1:11">
      <c r="A105" s="322" t="s">
        <v>1291</v>
      </c>
      <c r="B105" s="1072" t="s">
        <v>1273</v>
      </c>
      <c r="C105" s="1072" t="s">
        <v>852</v>
      </c>
      <c r="D105" s="900">
        <v>54841.27</v>
      </c>
      <c r="E105" s="900">
        <v>23571.43</v>
      </c>
      <c r="F105" s="42">
        <f t="shared" si="6"/>
        <v>7.8408051043544313E-2</v>
      </c>
      <c r="G105" s="900">
        <v>4299.9970974527951</v>
      </c>
      <c r="H105" s="900">
        <v>1848.1898866093318</v>
      </c>
      <c r="J105" s="981">
        <v>0.78780710363950135</v>
      </c>
      <c r="K105" s="981">
        <v>9.9526966285675506E-2</v>
      </c>
    </row>
    <row r="106" spans="1:11">
      <c r="A106" s="322" t="s">
        <v>1292</v>
      </c>
      <c r="B106" s="1072" t="s">
        <v>1514</v>
      </c>
      <c r="C106" s="1072" t="s">
        <v>1390</v>
      </c>
      <c r="D106" s="900">
        <v>143148.02000000008</v>
      </c>
      <c r="E106" s="900">
        <v>0.2200000000448199</v>
      </c>
      <c r="F106" s="42">
        <f t="shared" si="6"/>
        <v>0</v>
      </c>
      <c r="G106" s="900">
        <v>0</v>
      </c>
      <c r="H106" s="900">
        <v>0</v>
      </c>
      <c r="J106" s="981">
        <v>0</v>
      </c>
      <c r="K106" s="981">
        <v>0</v>
      </c>
    </row>
    <row r="107" spans="1:11">
      <c r="A107" s="322" t="s">
        <v>1293</v>
      </c>
      <c r="B107" s="1072" t="s">
        <v>1571</v>
      </c>
      <c r="C107" s="1072" t="s">
        <v>853</v>
      </c>
      <c r="D107" s="900">
        <v>1298913.4200000004</v>
      </c>
      <c r="E107" s="900">
        <v>1850331.0000000002</v>
      </c>
      <c r="F107" s="42">
        <f t="shared" si="6"/>
        <v>7.8408051043544313E-2</v>
      </c>
      <c r="G107" s="900">
        <v>101845.26973650475</v>
      </c>
      <c r="H107" s="900">
        <v>145080.84749545241</v>
      </c>
      <c r="J107" s="981">
        <v>0.78780710363950135</v>
      </c>
      <c r="K107" s="981">
        <v>9.9526966285675506E-2</v>
      </c>
    </row>
    <row r="108" spans="1:11">
      <c r="A108" s="322" t="s">
        <v>1294</v>
      </c>
      <c r="B108" s="1072" t="s">
        <v>1511</v>
      </c>
      <c r="C108" s="1072" t="s">
        <v>852</v>
      </c>
      <c r="D108" s="900">
        <v>6717.3120000000008</v>
      </c>
      <c r="E108" s="900">
        <v>3358.6560000000009</v>
      </c>
      <c r="F108" s="42">
        <f t="shared" si="6"/>
        <v>1</v>
      </c>
      <c r="G108" s="900">
        <v>6717.3120000000008</v>
      </c>
      <c r="H108" s="900">
        <v>3358.6560000000009</v>
      </c>
      <c r="J108" s="981">
        <v>1</v>
      </c>
      <c r="K108" s="981">
        <v>1</v>
      </c>
    </row>
    <row r="109" spans="1:11">
      <c r="A109" s="322" t="s">
        <v>1295</v>
      </c>
      <c r="B109" s="1072" t="s">
        <v>1511</v>
      </c>
      <c r="C109" s="1072" t="s">
        <v>852</v>
      </c>
      <c r="D109" s="900">
        <v>63254.687999999995</v>
      </c>
      <c r="E109" s="900">
        <v>31627.343999999997</v>
      </c>
      <c r="F109" s="42">
        <f t="shared" si="6"/>
        <v>0</v>
      </c>
      <c r="G109" s="900">
        <v>0</v>
      </c>
      <c r="H109" s="900">
        <v>0</v>
      </c>
      <c r="J109" s="981">
        <v>0</v>
      </c>
      <c r="K109" s="981">
        <v>0</v>
      </c>
    </row>
    <row r="110" spans="1:11">
      <c r="A110" s="322" t="s">
        <v>1296</v>
      </c>
      <c r="B110" s="1072" t="s">
        <v>1515</v>
      </c>
      <c r="C110" s="1072" t="s">
        <v>853</v>
      </c>
      <c r="D110" s="900">
        <v>8223.7000000000298</v>
      </c>
      <c r="E110" s="900">
        <v>3.0013325158506632E-11</v>
      </c>
      <c r="F110" s="42">
        <f t="shared" si="6"/>
        <v>0</v>
      </c>
      <c r="G110" s="900">
        <v>0</v>
      </c>
      <c r="H110" s="900">
        <v>0</v>
      </c>
      <c r="J110" s="981">
        <v>0</v>
      </c>
      <c r="K110" s="981">
        <v>0</v>
      </c>
    </row>
    <row r="111" spans="1:11">
      <c r="A111" s="322" t="s">
        <v>1297</v>
      </c>
      <c r="B111" s="1072" t="s">
        <v>1539</v>
      </c>
      <c r="C111" s="1072" t="s">
        <v>852</v>
      </c>
      <c r="D111" s="900">
        <v>57242.440000000061</v>
      </c>
      <c r="E111" s="900">
        <v>9174.489999999998</v>
      </c>
      <c r="F111" s="42">
        <f t="shared" si="6"/>
        <v>1</v>
      </c>
      <c r="G111" s="900">
        <v>57242.440000000061</v>
      </c>
      <c r="H111" s="900">
        <v>9174.489999999998</v>
      </c>
      <c r="J111" s="981">
        <v>1</v>
      </c>
      <c r="K111" s="981">
        <v>1</v>
      </c>
    </row>
    <row r="112" spans="1:11">
      <c r="A112" s="322" t="s">
        <v>1541</v>
      </c>
      <c r="B112" s="1072" t="s">
        <v>1540</v>
      </c>
      <c r="C112" s="1072" t="s">
        <v>852</v>
      </c>
      <c r="D112" s="900">
        <v>246444.81</v>
      </c>
      <c r="E112" s="900">
        <v>221036.69</v>
      </c>
      <c r="F112" s="42">
        <f t="shared" si="6"/>
        <v>0</v>
      </c>
      <c r="G112" s="900">
        <v>0</v>
      </c>
      <c r="H112" s="900">
        <v>0</v>
      </c>
      <c r="J112" s="981">
        <v>0</v>
      </c>
      <c r="K112" s="981">
        <v>0</v>
      </c>
    </row>
    <row r="113" spans="1:11">
      <c r="A113" s="322" t="s">
        <v>1542</v>
      </c>
      <c r="B113" s="1072" t="s">
        <v>1572</v>
      </c>
      <c r="C113" s="1072" t="s">
        <v>852</v>
      </c>
      <c r="D113" s="900">
        <v>130074.5</v>
      </c>
      <c r="E113" s="900">
        <v>130074.5</v>
      </c>
      <c r="F113" s="42">
        <f t="shared" si="6"/>
        <v>0</v>
      </c>
      <c r="G113" s="900">
        <v>0</v>
      </c>
      <c r="H113" s="900">
        <v>0</v>
      </c>
      <c r="J113" s="981">
        <v>0</v>
      </c>
      <c r="K113" s="981">
        <v>0</v>
      </c>
    </row>
    <row r="114" spans="1:11">
      <c r="A114" s="322" t="s">
        <v>1543</v>
      </c>
      <c r="B114" s="1072" t="s">
        <v>1774</v>
      </c>
      <c r="C114" s="1072" t="s">
        <v>852</v>
      </c>
      <c r="D114" s="900">
        <v>0</v>
      </c>
      <c r="E114" s="900">
        <v>1257800</v>
      </c>
      <c r="F114" s="42">
        <f t="shared" si="6"/>
        <v>0</v>
      </c>
      <c r="G114" s="900">
        <v>0</v>
      </c>
      <c r="H114" s="900">
        <v>0</v>
      </c>
      <c r="J114" s="981">
        <v>0</v>
      </c>
      <c r="K114" s="981">
        <v>0</v>
      </c>
    </row>
    <row r="115" spans="1:11">
      <c r="A115" s="322" t="s">
        <v>1544</v>
      </c>
      <c r="B115" s="1072" t="s">
        <v>1775</v>
      </c>
      <c r="C115" s="1072" t="s">
        <v>852</v>
      </c>
      <c r="D115" s="900">
        <v>0</v>
      </c>
      <c r="E115" s="900">
        <v>1335177.1099999999</v>
      </c>
      <c r="F115" s="42">
        <f>J115*K115</f>
        <v>0</v>
      </c>
      <c r="G115" s="900">
        <v>0</v>
      </c>
      <c r="H115" s="900">
        <v>0</v>
      </c>
      <c r="J115" s="981">
        <v>0</v>
      </c>
      <c r="K115" s="981">
        <v>0</v>
      </c>
    </row>
    <row r="116" spans="1:11">
      <c r="A116" s="322" t="s">
        <v>1777</v>
      </c>
      <c r="B116" s="1072" t="s">
        <v>1776</v>
      </c>
      <c r="C116" s="1072" t="s">
        <v>852</v>
      </c>
      <c r="D116" s="900">
        <v>0</v>
      </c>
      <c r="E116" s="900">
        <v>1120943.7500000002</v>
      </c>
      <c r="F116" s="42">
        <f>J116*K116</f>
        <v>0</v>
      </c>
      <c r="G116" s="900">
        <v>0</v>
      </c>
      <c r="H116" s="900">
        <v>0</v>
      </c>
      <c r="J116" s="981">
        <v>0</v>
      </c>
      <c r="K116" s="981">
        <v>0</v>
      </c>
    </row>
    <row r="117" spans="1:11">
      <c r="A117" s="322" t="s">
        <v>1298</v>
      </c>
      <c r="B117" s="901"/>
      <c r="C117" s="902"/>
      <c r="D117" s="900"/>
      <c r="E117" s="900"/>
      <c r="F117" s="42"/>
      <c r="G117" s="900"/>
      <c r="H117" s="900"/>
      <c r="J117" s="901"/>
      <c r="K117" s="901"/>
    </row>
    <row r="118" spans="1:11">
      <c r="B118" s="21" t="s">
        <v>1299</v>
      </c>
      <c r="D118" s="39">
        <f>SUM(D91:D117)</f>
        <v>9472013.9966666903</v>
      </c>
      <c r="E118" s="39">
        <f>SUM(E91:E117)</f>
        <v>15850540.296666687</v>
      </c>
      <c r="G118" s="39">
        <f>SUM(G91:G117)</f>
        <v>695996.51431119884</v>
      </c>
      <c r="H118" s="39">
        <f>SUM(H91:H117)</f>
        <v>1167493.9828616669</v>
      </c>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1">
    <mergeCell ref="B89:J89"/>
    <mergeCell ref="J6:L6"/>
    <mergeCell ref="C6:E6"/>
    <mergeCell ref="C26:I26"/>
    <mergeCell ref="E45:H45"/>
    <mergeCell ref="B76:K76"/>
    <mergeCell ref="B88:J88"/>
    <mergeCell ref="B77:K77"/>
    <mergeCell ref="B82:J82"/>
    <mergeCell ref="B83:K83"/>
    <mergeCell ref="B84:J84"/>
  </mergeCells>
  <phoneticPr fontId="0" type="noConversion"/>
  <pageMargins left="0.25" right="0.25" top="0.75" bottom="0.75" header="0.3" footer="0.3"/>
  <pageSetup scale="45" fitToHeight="0" orientation="landscape" r:id="rId2"/>
  <rowBreaks count="1" manualBreakCount="1">
    <brk id="4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C100"/>
  <sheetViews>
    <sheetView view="pageBreakPreview" topLeftCell="A37" zoomScale="70" zoomScaleNormal="70" zoomScaleSheetLayoutView="70" workbookViewId="0">
      <selection activeCell="M59" sqref="M59"/>
    </sheetView>
  </sheetViews>
  <sheetFormatPr defaultColWidth="8.84375" defaultRowHeight="14"/>
  <cols>
    <col min="1" max="1" width="8.84375" style="368"/>
    <col min="2" max="2" width="9.84375" style="369" customWidth="1"/>
    <col min="3" max="3" width="19" style="369" customWidth="1"/>
    <col min="4" max="4" width="8.84375" style="370"/>
    <col min="5" max="5" width="13.84375" style="369" customWidth="1"/>
    <col min="6" max="6" width="16.4609375" style="369" customWidth="1"/>
    <col min="7" max="7" width="12.53515625" style="369" customWidth="1"/>
    <col min="8" max="8" width="12.69140625" style="369" customWidth="1"/>
    <col min="9" max="9" width="11.84375" style="369" customWidth="1"/>
    <col min="10" max="10" width="13.07421875" style="369" customWidth="1"/>
    <col min="11" max="11" width="11.84375" style="369" bestFit="1" customWidth="1"/>
    <col min="12" max="12" width="17.3046875" style="369" customWidth="1"/>
    <col min="13" max="13" width="13.07421875" style="369" customWidth="1"/>
    <col min="14" max="14" width="11.84375" style="369" bestFit="1" customWidth="1"/>
    <col min="15" max="15" width="19.69140625" style="372" customWidth="1"/>
    <col min="16" max="18" width="8.84375" style="372"/>
    <col min="19" max="19" width="11" style="372" customWidth="1"/>
    <col min="20" max="29" width="8.84375" style="372"/>
    <col min="30" max="16384" width="8.84375" style="369"/>
  </cols>
  <sheetData>
    <row r="1" spans="1:19" ht="15.5">
      <c r="M1" s="371"/>
    </row>
    <row r="2" spans="1:19" ht="15.5">
      <c r="G2" s="164" t="s">
        <v>1002</v>
      </c>
      <c r="M2" s="371" t="s">
        <v>450</v>
      </c>
    </row>
    <row r="3" spans="1:19" ht="15.5">
      <c r="G3" s="373" t="str">
        <f>'Attachment H-7'!$D$5</f>
        <v>PECO Energy Company</v>
      </c>
      <c r="M3" s="371" t="s">
        <v>422</v>
      </c>
    </row>
    <row r="4" spans="1:19">
      <c r="B4" s="374"/>
      <c r="C4" s="374"/>
      <c r="D4" s="375"/>
      <c r="E4" s="374"/>
      <c r="F4" s="374"/>
      <c r="G4" s="376" t="s">
        <v>451</v>
      </c>
      <c r="H4" s="374"/>
      <c r="I4" s="374"/>
      <c r="J4" s="374"/>
      <c r="K4" s="374"/>
      <c r="L4" s="374"/>
      <c r="M4" s="374"/>
    </row>
    <row r="5" spans="1:19" ht="15.5">
      <c r="E5" s="368"/>
      <c r="F5" s="368"/>
      <c r="G5" s="368"/>
      <c r="H5" s="368"/>
      <c r="I5" s="368"/>
      <c r="J5" s="368"/>
      <c r="K5" s="368"/>
      <c r="L5" s="368"/>
      <c r="M5" s="371" t="s">
        <v>1778</v>
      </c>
    </row>
    <row r="6" spans="1:19">
      <c r="E6" s="368"/>
      <c r="F6" s="368"/>
      <c r="G6" s="368"/>
      <c r="H6" s="368"/>
      <c r="I6" s="368"/>
      <c r="J6" s="368"/>
      <c r="K6" s="368"/>
      <c r="L6" s="368"/>
    </row>
    <row r="7" spans="1:19">
      <c r="A7" s="377" t="s">
        <v>452</v>
      </c>
      <c r="E7" s="368"/>
      <c r="F7" s="368"/>
      <c r="G7" s="368"/>
      <c r="H7" s="368"/>
      <c r="I7" s="368"/>
      <c r="J7" s="368"/>
      <c r="K7" s="368"/>
      <c r="L7" s="368"/>
    </row>
    <row r="8" spans="1:19">
      <c r="E8" s="368"/>
      <c r="F8" s="368"/>
      <c r="G8" s="368"/>
      <c r="H8" s="368"/>
      <c r="I8" s="368"/>
      <c r="J8" s="368"/>
      <c r="K8" s="368"/>
      <c r="L8" s="368"/>
    </row>
    <row r="9" spans="1:19">
      <c r="B9" s="369" t="s">
        <v>198</v>
      </c>
      <c r="C9" s="369" t="s">
        <v>199</v>
      </c>
      <c r="D9" s="370" t="s">
        <v>200</v>
      </c>
      <c r="E9" s="368" t="s">
        <v>201</v>
      </c>
      <c r="F9" s="368" t="s">
        <v>203</v>
      </c>
      <c r="G9" s="368" t="s">
        <v>202</v>
      </c>
      <c r="H9" s="368" t="s">
        <v>204</v>
      </c>
      <c r="I9" s="368" t="s">
        <v>1094</v>
      </c>
      <c r="J9" s="368" t="s">
        <v>206</v>
      </c>
      <c r="K9" s="368" t="s">
        <v>244</v>
      </c>
      <c r="L9" s="368" t="s">
        <v>248</v>
      </c>
      <c r="M9" s="368" t="s">
        <v>453</v>
      </c>
    </row>
    <row r="10" spans="1:19">
      <c r="B10" s="368" t="s">
        <v>454</v>
      </c>
      <c r="C10" s="369" t="s">
        <v>167</v>
      </c>
      <c r="D10" s="370" t="s">
        <v>75</v>
      </c>
      <c r="E10" s="368" t="s">
        <v>455</v>
      </c>
      <c r="F10" s="368" t="s">
        <v>456</v>
      </c>
      <c r="G10" s="378">
        <v>1</v>
      </c>
      <c r="H10" s="368" t="s">
        <v>457</v>
      </c>
      <c r="I10" s="368" t="s">
        <v>458</v>
      </c>
      <c r="J10" s="368" t="s">
        <v>1075</v>
      </c>
      <c r="K10" s="368" t="s">
        <v>459</v>
      </c>
      <c r="L10" s="368" t="s">
        <v>460</v>
      </c>
      <c r="M10" s="368" t="s">
        <v>227</v>
      </c>
    </row>
    <row r="11" spans="1:19">
      <c r="B11" s="368" t="s">
        <v>461</v>
      </c>
      <c r="E11" s="368" t="s">
        <v>462</v>
      </c>
      <c r="F11" s="368" t="s">
        <v>463</v>
      </c>
      <c r="G11" s="368" t="s">
        <v>17</v>
      </c>
      <c r="H11" s="378" t="s">
        <v>464</v>
      </c>
      <c r="I11" s="368" t="s">
        <v>465</v>
      </c>
      <c r="J11" s="378" t="s">
        <v>466</v>
      </c>
      <c r="K11" s="368" t="s">
        <v>467</v>
      </c>
      <c r="L11" s="378" t="s">
        <v>468</v>
      </c>
      <c r="M11" s="368" t="s">
        <v>469</v>
      </c>
    </row>
    <row r="12" spans="1:19">
      <c r="B12" s="368" t="s">
        <v>470</v>
      </c>
      <c r="E12" s="368"/>
      <c r="F12" s="368"/>
      <c r="G12" s="368"/>
      <c r="H12" s="379">
        <v>1</v>
      </c>
      <c r="I12" s="368"/>
      <c r="J12" s="380">
        <f>+'Attachment H-7'!G53</f>
        <v>0.17911541083015697</v>
      </c>
      <c r="K12" s="381"/>
      <c r="L12" s="380">
        <f>+'Attachment H-7'!I197</f>
        <v>9.9526966285675506E-2</v>
      </c>
      <c r="M12" s="368" t="s">
        <v>471</v>
      </c>
    </row>
    <row r="13" spans="1:19" ht="15.5">
      <c r="B13" s="368" t="s">
        <v>472</v>
      </c>
      <c r="E13" s="368"/>
      <c r="F13" s="368"/>
      <c r="G13" s="368"/>
      <c r="H13" s="382"/>
      <c r="I13" s="368"/>
      <c r="J13" s="368" t="s">
        <v>473</v>
      </c>
      <c r="K13" s="368"/>
      <c r="L13" s="368" t="s">
        <v>473</v>
      </c>
      <c r="M13" s="368"/>
      <c r="O13" s="383"/>
    </row>
    <row r="14" spans="1:19">
      <c r="B14" s="372"/>
      <c r="C14" s="384" t="s">
        <v>474</v>
      </c>
      <c r="E14" s="368"/>
      <c r="F14" s="368"/>
      <c r="G14" s="368"/>
      <c r="H14" s="368"/>
      <c r="I14" s="368"/>
      <c r="J14" s="368" t="s">
        <v>475</v>
      </c>
      <c r="K14" s="368"/>
      <c r="L14" s="368" t="s">
        <v>476</v>
      </c>
      <c r="M14" s="368"/>
    </row>
    <row r="15" spans="1:19" ht="15.5">
      <c r="A15" s="368">
        <v>1</v>
      </c>
      <c r="B15" s="369" t="s">
        <v>477</v>
      </c>
      <c r="C15" s="369" t="s">
        <v>196</v>
      </c>
      <c r="D15" s="922">
        <v>2021</v>
      </c>
      <c r="E15" s="385">
        <v>1</v>
      </c>
      <c r="F15" s="921">
        <v>0</v>
      </c>
      <c r="G15" s="921">
        <f>'4C - ADIT EOY'!E111</f>
        <v>-212180461</v>
      </c>
      <c r="H15" s="920">
        <f t="shared" ref="H15:H27" si="0">+H$12*G15</f>
        <v>-212180461</v>
      </c>
      <c r="I15" s="921">
        <f>'4C - ADIT EOY'!F111</f>
        <v>0</v>
      </c>
      <c r="J15" s="920">
        <f t="shared" ref="J15:J27" si="1">+I15*J$12</f>
        <v>0</v>
      </c>
      <c r="K15" s="921">
        <f>'4C - ADIT EOY'!G111</f>
        <v>-32167980</v>
      </c>
      <c r="L15" s="920">
        <f t="shared" ref="J15:L29" si="2">+K15*L$12</f>
        <v>-3201581.4609382842</v>
      </c>
      <c r="M15" s="921">
        <f t="shared" ref="M15:M27" si="3">(L15+J15+H15)*E15</f>
        <v>-215382042.46093827</v>
      </c>
      <c r="N15" s="386"/>
      <c r="O15" s="387"/>
      <c r="P15" s="387"/>
      <c r="Q15" s="387"/>
      <c r="R15" s="387"/>
      <c r="S15" s="387"/>
    </row>
    <row r="16" spans="1:19" ht="15.5">
      <c r="A16" s="368">
        <v>2</v>
      </c>
      <c r="B16" s="369" t="s">
        <v>478</v>
      </c>
      <c r="C16" s="369" t="s">
        <v>84</v>
      </c>
      <c r="D16" s="915">
        <f>+D15+1</f>
        <v>2022</v>
      </c>
      <c r="E16" s="385">
        <v>0.9178082191780822</v>
      </c>
      <c r="F16" s="920">
        <v>0</v>
      </c>
      <c r="G16" s="920">
        <v>-133989.88063763161</v>
      </c>
      <c r="H16" s="920">
        <f t="shared" si="0"/>
        <v>-133989.88063763161</v>
      </c>
      <c r="I16" s="920">
        <v>0</v>
      </c>
      <c r="J16" s="920">
        <f t="shared" si="1"/>
        <v>0</v>
      </c>
      <c r="K16" s="920">
        <v>-7818.8054269609493</v>
      </c>
      <c r="L16" s="920">
        <f t="shared" si="2"/>
        <v>-778.18198412339905</v>
      </c>
      <c r="M16" s="921">
        <f t="shared" si="3"/>
        <v>-123691.23555695322</v>
      </c>
      <c r="N16" s="388"/>
      <c r="O16" s="389"/>
      <c r="P16" s="387"/>
      <c r="Q16" s="387"/>
      <c r="R16" s="387"/>
      <c r="S16" s="387"/>
    </row>
    <row r="17" spans="1:19" ht="15.5">
      <c r="A17" s="368">
        <f>+A16+1</f>
        <v>3</v>
      </c>
      <c r="B17" s="369" t="s">
        <v>478</v>
      </c>
      <c r="C17" s="372" t="s">
        <v>83</v>
      </c>
      <c r="D17" s="915">
        <f>+D16</f>
        <v>2022</v>
      </c>
      <c r="E17" s="385">
        <v>0.84109589041095889</v>
      </c>
      <c r="F17" s="920">
        <f>+F16</f>
        <v>0</v>
      </c>
      <c r="G17" s="920">
        <v>-133989.88063763161</v>
      </c>
      <c r="H17" s="920">
        <f t="shared" si="0"/>
        <v>-133989.88063763161</v>
      </c>
      <c r="I17" s="920">
        <f>+I16</f>
        <v>0</v>
      </c>
      <c r="J17" s="920">
        <f t="shared" si="1"/>
        <v>0</v>
      </c>
      <c r="K17" s="920">
        <v>-7818.8054269609493</v>
      </c>
      <c r="L17" s="920">
        <f t="shared" si="2"/>
        <v>-778.18198412339905</v>
      </c>
      <c r="M17" s="921">
        <f t="shared" si="3"/>
        <v>-113352.8636298049</v>
      </c>
      <c r="N17" s="388"/>
      <c r="O17" s="390"/>
      <c r="P17" s="391"/>
      <c r="Q17" s="392"/>
      <c r="R17" s="392"/>
      <c r="S17" s="392"/>
    </row>
    <row r="18" spans="1:19" ht="15.5">
      <c r="A18" s="368">
        <f t="shared" ref="A18:A30" si="4">+A17+1</f>
        <v>4</v>
      </c>
      <c r="B18" s="369" t="s">
        <v>478</v>
      </c>
      <c r="C18" s="372" t="s">
        <v>82</v>
      </c>
      <c r="D18" s="915">
        <f t="shared" ref="D18:D29" si="5">+D17</f>
        <v>2022</v>
      </c>
      <c r="E18" s="385">
        <v>0.75616438356164384</v>
      </c>
      <c r="F18" s="920">
        <f>+F17</f>
        <v>0</v>
      </c>
      <c r="G18" s="920">
        <v>-133989.88063763161</v>
      </c>
      <c r="H18" s="920">
        <f t="shared" si="0"/>
        <v>-133989.88063763161</v>
      </c>
      <c r="I18" s="920">
        <f t="shared" ref="I18:I27" si="6">+I17</f>
        <v>0</v>
      </c>
      <c r="J18" s="920">
        <f t="shared" si="1"/>
        <v>0</v>
      </c>
      <c r="K18" s="920">
        <v>-7818.8054269609493</v>
      </c>
      <c r="L18" s="920">
        <f t="shared" si="2"/>
        <v>-778.18198412339905</v>
      </c>
      <c r="M18" s="921">
        <f t="shared" si="3"/>
        <v>-101906.80899617639</v>
      </c>
      <c r="N18" s="388"/>
      <c r="O18" s="391"/>
      <c r="P18" s="393"/>
      <c r="Q18" s="392"/>
      <c r="R18" s="392"/>
      <c r="S18" s="394"/>
    </row>
    <row r="19" spans="1:19" ht="15.5">
      <c r="A19" s="368">
        <f t="shared" si="4"/>
        <v>5</v>
      </c>
      <c r="B19" s="369" t="s">
        <v>478</v>
      </c>
      <c r="C19" s="372" t="s">
        <v>74</v>
      </c>
      <c r="D19" s="915">
        <f t="shared" si="5"/>
        <v>2022</v>
      </c>
      <c r="E19" s="385">
        <v>0.67397260273972603</v>
      </c>
      <c r="F19" s="920">
        <f t="shared" ref="F19:F27" si="7">+F18</f>
        <v>0</v>
      </c>
      <c r="G19" s="920">
        <v>-133989.88063763161</v>
      </c>
      <c r="H19" s="920">
        <f t="shared" si="0"/>
        <v>-133989.88063763161</v>
      </c>
      <c r="I19" s="920">
        <f t="shared" si="6"/>
        <v>0</v>
      </c>
      <c r="J19" s="920">
        <f t="shared" si="1"/>
        <v>0</v>
      </c>
      <c r="K19" s="920">
        <v>-7818.8054269609493</v>
      </c>
      <c r="L19" s="920">
        <f t="shared" si="2"/>
        <v>-778.18198412339905</v>
      </c>
      <c r="M19" s="921">
        <f t="shared" si="3"/>
        <v>-90829.981931374612</v>
      </c>
      <c r="N19" s="388"/>
      <c r="O19" s="391"/>
      <c r="P19" s="393"/>
      <c r="Q19" s="392"/>
      <c r="R19" s="392"/>
      <c r="S19" s="394"/>
    </row>
    <row r="20" spans="1:19" ht="15.5">
      <c r="A20" s="368">
        <f t="shared" si="4"/>
        <v>6</v>
      </c>
      <c r="B20" s="369" t="s">
        <v>478</v>
      </c>
      <c r="C20" s="372" t="s">
        <v>73</v>
      </c>
      <c r="D20" s="915">
        <f t="shared" si="5"/>
        <v>2022</v>
      </c>
      <c r="E20" s="385">
        <v>0.58904109589041098</v>
      </c>
      <c r="F20" s="920">
        <f t="shared" si="7"/>
        <v>0</v>
      </c>
      <c r="G20" s="920">
        <v>-133989.88063763161</v>
      </c>
      <c r="H20" s="920">
        <f t="shared" si="0"/>
        <v>-133989.88063763161</v>
      </c>
      <c r="I20" s="920">
        <f t="shared" si="6"/>
        <v>0</v>
      </c>
      <c r="J20" s="920">
        <f t="shared" si="1"/>
        <v>0</v>
      </c>
      <c r="K20" s="920">
        <v>-7818.8054269609493</v>
      </c>
      <c r="L20" s="920">
        <f t="shared" si="2"/>
        <v>-778.18198412339905</v>
      </c>
      <c r="M20" s="921">
        <f t="shared" si="3"/>
        <v>-79383.927297746093</v>
      </c>
      <c r="N20" s="388"/>
      <c r="O20" s="391"/>
      <c r="P20" s="393"/>
      <c r="Q20" s="392"/>
      <c r="R20" s="392"/>
      <c r="S20" s="394"/>
    </row>
    <row r="21" spans="1:19" ht="15.5">
      <c r="A21" s="368">
        <f t="shared" si="4"/>
        <v>7</v>
      </c>
      <c r="B21" s="369" t="s">
        <v>478</v>
      </c>
      <c r="C21" s="372" t="s">
        <v>93</v>
      </c>
      <c r="D21" s="915">
        <f t="shared" si="5"/>
        <v>2022</v>
      </c>
      <c r="E21" s="385">
        <v>0.50684931506849318</v>
      </c>
      <c r="F21" s="920">
        <f t="shared" si="7"/>
        <v>0</v>
      </c>
      <c r="G21" s="920">
        <v>-133989.88063763161</v>
      </c>
      <c r="H21" s="920">
        <f t="shared" si="0"/>
        <v>-133989.88063763161</v>
      </c>
      <c r="I21" s="920">
        <f t="shared" si="6"/>
        <v>0</v>
      </c>
      <c r="J21" s="920">
        <f t="shared" si="1"/>
        <v>0</v>
      </c>
      <c r="K21" s="920">
        <v>-7818.8054269609493</v>
      </c>
      <c r="L21" s="920">
        <f t="shared" si="2"/>
        <v>-778.18198412339905</v>
      </c>
      <c r="M21" s="921">
        <f t="shared" si="3"/>
        <v>-68307.100232944314</v>
      </c>
      <c r="N21" s="388"/>
      <c r="O21" s="391"/>
      <c r="P21" s="393"/>
      <c r="Q21" s="392"/>
      <c r="R21" s="392"/>
      <c r="S21" s="394"/>
    </row>
    <row r="22" spans="1:19" ht="15.5">
      <c r="A22" s="368">
        <f t="shared" si="4"/>
        <v>8</v>
      </c>
      <c r="B22" s="369" t="s">
        <v>478</v>
      </c>
      <c r="C22" s="372" t="s">
        <v>81</v>
      </c>
      <c r="D22" s="915">
        <f t="shared" si="5"/>
        <v>2022</v>
      </c>
      <c r="E22" s="385">
        <v>0.42191780821917807</v>
      </c>
      <c r="F22" s="920">
        <f t="shared" si="7"/>
        <v>0</v>
      </c>
      <c r="G22" s="920">
        <v>-133989.88063763161</v>
      </c>
      <c r="H22" s="920">
        <f t="shared" si="0"/>
        <v>-133989.88063763161</v>
      </c>
      <c r="I22" s="920">
        <f t="shared" si="6"/>
        <v>0</v>
      </c>
      <c r="J22" s="920">
        <f t="shared" si="1"/>
        <v>0</v>
      </c>
      <c r="K22" s="920">
        <v>-7818.8054269609493</v>
      </c>
      <c r="L22" s="920">
        <f t="shared" si="2"/>
        <v>-778.18198412339905</v>
      </c>
      <c r="M22" s="921">
        <f t="shared" si="3"/>
        <v>-56861.04559931581</v>
      </c>
      <c r="N22" s="388"/>
      <c r="O22" s="391"/>
      <c r="P22" s="393"/>
      <c r="Q22" s="392"/>
      <c r="R22" s="392"/>
      <c r="S22" s="394"/>
    </row>
    <row r="23" spans="1:19" ht="15.5">
      <c r="A23" s="368">
        <f t="shared" si="4"/>
        <v>9</v>
      </c>
      <c r="B23" s="369" t="s">
        <v>478</v>
      </c>
      <c r="C23" s="372" t="s">
        <v>80</v>
      </c>
      <c r="D23" s="915">
        <f t="shared" si="5"/>
        <v>2022</v>
      </c>
      <c r="E23" s="385">
        <v>0.33698630136986302</v>
      </c>
      <c r="F23" s="920">
        <f t="shared" si="7"/>
        <v>0</v>
      </c>
      <c r="G23" s="920">
        <v>-133989.88063763161</v>
      </c>
      <c r="H23" s="920">
        <f t="shared" si="0"/>
        <v>-133989.88063763161</v>
      </c>
      <c r="I23" s="920">
        <f t="shared" si="6"/>
        <v>0</v>
      </c>
      <c r="J23" s="920">
        <f t="shared" si="1"/>
        <v>0</v>
      </c>
      <c r="K23" s="920">
        <v>-7818.8054269609493</v>
      </c>
      <c r="L23" s="920">
        <f t="shared" si="2"/>
        <v>-778.18198412339905</v>
      </c>
      <c r="M23" s="921">
        <f t="shared" si="3"/>
        <v>-45414.990965687306</v>
      </c>
      <c r="N23" s="388"/>
      <c r="O23" s="391"/>
      <c r="P23" s="393"/>
      <c r="Q23" s="392"/>
      <c r="R23" s="392"/>
      <c r="S23" s="394"/>
    </row>
    <row r="24" spans="1:19" ht="15.5">
      <c r="A24" s="368">
        <f t="shared" si="4"/>
        <v>10</v>
      </c>
      <c r="B24" s="369" t="s">
        <v>478</v>
      </c>
      <c r="C24" s="372" t="s">
        <v>79</v>
      </c>
      <c r="D24" s="915">
        <f t="shared" si="5"/>
        <v>2022</v>
      </c>
      <c r="E24" s="385">
        <v>0.25479452054794521</v>
      </c>
      <c r="F24" s="920">
        <f t="shared" si="7"/>
        <v>0</v>
      </c>
      <c r="G24" s="920">
        <v>-133989.88063763161</v>
      </c>
      <c r="H24" s="920">
        <f t="shared" si="0"/>
        <v>-133989.88063763161</v>
      </c>
      <c r="I24" s="920">
        <f t="shared" si="6"/>
        <v>0</v>
      </c>
      <c r="J24" s="920">
        <f t="shared" si="1"/>
        <v>0</v>
      </c>
      <c r="K24" s="920">
        <v>-7818.8054269609493</v>
      </c>
      <c r="L24" s="920">
        <f t="shared" si="2"/>
        <v>-778.18198412339905</v>
      </c>
      <c r="M24" s="921">
        <f t="shared" si="3"/>
        <v>-34338.16390088552</v>
      </c>
      <c r="N24" s="388"/>
      <c r="O24" s="391"/>
      <c r="P24" s="393"/>
      <c r="Q24" s="392"/>
      <c r="R24" s="392"/>
      <c r="S24" s="394"/>
    </row>
    <row r="25" spans="1:19" ht="15.5">
      <c r="A25" s="368">
        <f t="shared" si="4"/>
        <v>11</v>
      </c>
      <c r="B25" s="369" t="s">
        <v>478</v>
      </c>
      <c r="C25" s="372" t="s">
        <v>85</v>
      </c>
      <c r="D25" s="915">
        <f t="shared" si="5"/>
        <v>2022</v>
      </c>
      <c r="E25" s="385">
        <v>0.16986301369863013</v>
      </c>
      <c r="F25" s="920">
        <f t="shared" si="7"/>
        <v>0</v>
      </c>
      <c r="G25" s="920">
        <v>-133989.88063763161</v>
      </c>
      <c r="H25" s="920">
        <f t="shared" si="0"/>
        <v>-133989.88063763161</v>
      </c>
      <c r="I25" s="920">
        <f t="shared" si="6"/>
        <v>0</v>
      </c>
      <c r="J25" s="920">
        <f t="shared" si="1"/>
        <v>0</v>
      </c>
      <c r="K25" s="920">
        <v>-7818.8054269609493</v>
      </c>
      <c r="L25" s="920">
        <f t="shared" si="2"/>
        <v>-778.18198412339905</v>
      </c>
      <c r="M25" s="921">
        <f t="shared" si="3"/>
        <v>-22892.109267257012</v>
      </c>
      <c r="N25" s="388"/>
      <c r="O25" s="391"/>
      <c r="P25" s="393"/>
      <c r="Q25" s="392"/>
      <c r="R25" s="392"/>
      <c r="S25" s="394"/>
    </row>
    <row r="26" spans="1:19" ht="15.5">
      <c r="A26" s="368">
        <f t="shared" si="4"/>
        <v>12</v>
      </c>
      <c r="B26" s="369" t="s">
        <v>478</v>
      </c>
      <c r="C26" s="372" t="s">
        <v>78</v>
      </c>
      <c r="D26" s="915">
        <f t="shared" si="5"/>
        <v>2022</v>
      </c>
      <c r="E26" s="385">
        <v>8.7671232876712329E-2</v>
      </c>
      <c r="F26" s="920">
        <f t="shared" si="7"/>
        <v>0</v>
      </c>
      <c r="G26" s="920">
        <v>-133989.88063763161</v>
      </c>
      <c r="H26" s="920">
        <f t="shared" si="0"/>
        <v>-133989.88063763161</v>
      </c>
      <c r="I26" s="920">
        <f t="shared" si="6"/>
        <v>0</v>
      </c>
      <c r="J26" s="920">
        <f t="shared" si="1"/>
        <v>0</v>
      </c>
      <c r="K26" s="920">
        <v>-7818.8054269609493</v>
      </c>
      <c r="L26" s="920">
        <f t="shared" si="2"/>
        <v>-778.18198412339905</v>
      </c>
      <c r="M26" s="921">
        <f t="shared" si="3"/>
        <v>-11815.282202455233</v>
      </c>
      <c r="N26" s="388"/>
      <c r="O26" s="391"/>
      <c r="P26" s="393"/>
      <c r="Q26" s="392"/>
      <c r="R26" s="392"/>
      <c r="S26" s="394"/>
    </row>
    <row r="27" spans="1:19" ht="15.5">
      <c r="A27" s="368">
        <f t="shared" si="4"/>
        <v>13</v>
      </c>
      <c r="B27" s="369" t="s">
        <v>478</v>
      </c>
      <c r="C27" s="369" t="str">
        <f>+C15</f>
        <v xml:space="preserve">December </v>
      </c>
      <c r="D27" s="915">
        <f t="shared" si="5"/>
        <v>2022</v>
      </c>
      <c r="E27" s="385">
        <v>2.7397260273972603E-3</v>
      </c>
      <c r="F27" s="920">
        <f t="shared" si="7"/>
        <v>0</v>
      </c>
      <c r="G27" s="920">
        <v>-133989.88063763161</v>
      </c>
      <c r="H27" s="920">
        <f t="shared" si="0"/>
        <v>-133989.88063763161</v>
      </c>
      <c r="I27" s="920">
        <f t="shared" si="6"/>
        <v>0</v>
      </c>
      <c r="J27" s="920">
        <f t="shared" si="1"/>
        <v>0</v>
      </c>
      <c r="K27" s="920">
        <v>-7818.8054269609493</v>
      </c>
      <c r="L27" s="920">
        <f t="shared" si="2"/>
        <v>-778.18198412339905</v>
      </c>
      <c r="M27" s="921">
        <f t="shared" si="3"/>
        <v>-369.22756882672604</v>
      </c>
      <c r="N27" s="388"/>
      <c r="O27" s="391"/>
      <c r="P27" s="393"/>
      <c r="Q27" s="392"/>
      <c r="R27" s="392"/>
      <c r="S27" s="394"/>
    </row>
    <row r="28" spans="1:19" ht="15.5">
      <c r="A28" s="368">
        <f t="shared" si="4"/>
        <v>14</v>
      </c>
      <c r="B28" s="369" t="s">
        <v>479</v>
      </c>
      <c r="D28" s="915">
        <f t="shared" si="5"/>
        <v>2022</v>
      </c>
      <c r="E28" s="395" t="s">
        <v>477</v>
      </c>
      <c r="F28" s="396">
        <f>SUM(F15:F27)</f>
        <v>0</v>
      </c>
      <c r="G28" s="396">
        <f>SUM(G15:G27)</f>
        <v>-213788339.56765175</v>
      </c>
      <c r="H28" s="396">
        <f>SUM(H15:H27)</f>
        <v>-213788339.56765175</v>
      </c>
      <c r="I28" s="396">
        <f>SUM(I15:I27)</f>
        <v>0</v>
      </c>
      <c r="J28" s="396">
        <f>+J12*I28</f>
        <v>0</v>
      </c>
      <c r="K28" s="396">
        <f>SUM(K15:K27)</f>
        <v>-32261805.665123552</v>
      </c>
      <c r="L28" s="396">
        <f>SUM(L15:L27)</f>
        <v>-3210919.6447477639</v>
      </c>
      <c r="M28" s="396">
        <f>SUM(M15:M27)</f>
        <v>-216131205.19808775</v>
      </c>
      <c r="O28" s="391"/>
      <c r="P28" s="393"/>
      <c r="Q28" s="392"/>
      <c r="R28" s="392"/>
      <c r="S28" s="394"/>
    </row>
    <row r="29" spans="1:19" ht="15.5">
      <c r="A29" s="368">
        <f t="shared" si="4"/>
        <v>15</v>
      </c>
      <c r="B29" s="369" t="s">
        <v>478</v>
      </c>
      <c r="C29" s="369" t="s">
        <v>910</v>
      </c>
      <c r="D29" s="915">
        <f t="shared" si="5"/>
        <v>2022</v>
      </c>
      <c r="E29" s="395"/>
      <c r="F29" s="395"/>
      <c r="G29" s="919">
        <v>-3219663.0478106849</v>
      </c>
      <c r="H29" s="920">
        <f>G29</f>
        <v>-3219663.0478106849</v>
      </c>
      <c r="I29" s="921">
        <v>0</v>
      </c>
      <c r="J29" s="920">
        <f t="shared" si="2"/>
        <v>0</v>
      </c>
      <c r="K29" s="919">
        <v>0</v>
      </c>
      <c r="L29" s="920">
        <f t="shared" ref="L29" si="8">+K29*L$12</f>
        <v>0</v>
      </c>
      <c r="M29" s="921">
        <f>H29+J29+L29</f>
        <v>-3219663.0478106849</v>
      </c>
      <c r="O29" s="391"/>
      <c r="P29" s="393"/>
      <c r="Q29" s="392"/>
      <c r="R29" s="392"/>
      <c r="S29" s="394"/>
    </row>
    <row r="30" spans="1:19">
      <c r="A30" s="368">
        <f t="shared" si="4"/>
        <v>16</v>
      </c>
      <c r="B30" s="369" t="s">
        <v>13</v>
      </c>
      <c r="D30" s="397"/>
      <c r="G30" s="398">
        <f t="shared" ref="G30:L30" si="9">SUM(G28:G29)</f>
        <v>-217008002.61546242</v>
      </c>
      <c r="H30" s="398">
        <f t="shared" si="9"/>
        <v>-217008002.61546242</v>
      </c>
      <c r="I30" s="398">
        <f t="shared" si="9"/>
        <v>0</v>
      </c>
      <c r="J30" s="398">
        <f t="shared" si="9"/>
        <v>0</v>
      </c>
      <c r="K30" s="398">
        <f t="shared" si="9"/>
        <v>-32261805.665123552</v>
      </c>
      <c r="L30" s="398">
        <f t="shared" si="9"/>
        <v>-3210919.6447477639</v>
      </c>
      <c r="M30" s="398">
        <f>SUM(M28:M29)</f>
        <v>-219350868.24589843</v>
      </c>
    </row>
    <row r="31" spans="1:19">
      <c r="B31" s="372"/>
      <c r="C31" s="384" t="s">
        <v>480</v>
      </c>
      <c r="D31" s="397"/>
    </row>
    <row r="32" spans="1:19">
      <c r="A32" s="368">
        <f>A30+1</f>
        <v>17</v>
      </c>
      <c r="B32" s="372" t="s">
        <v>477</v>
      </c>
      <c r="C32" s="372" t="s">
        <v>196</v>
      </c>
      <c r="D32" s="915">
        <f>+D15</f>
        <v>2021</v>
      </c>
      <c r="F32" s="916">
        <v>0</v>
      </c>
      <c r="G32" s="916">
        <f>'4C - ADIT EOY'!E171</f>
        <v>0</v>
      </c>
      <c r="H32" s="916">
        <f>+G32*H12</f>
        <v>0</v>
      </c>
      <c r="I32" s="916">
        <f>'4C - ADIT EOY'!F171</f>
        <v>-5358813.8344045579</v>
      </c>
      <c r="J32" s="916">
        <f>+I32*J12</f>
        <v>-959846.14151170116</v>
      </c>
      <c r="K32" s="916">
        <f>'4C - ADIT EOY'!G171</f>
        <v>-98523872.829999998</v>
      </c>
      <c r="L32" s="916">
        <f>+K32*L12</f>
        <v>-9805782.1694855914</v>
      </c>
      <c r="M32" s="918">
        <f>+L32+J32+H32</f>
        <v>-10765628.310997292</v>
      </c>
    </row>
    <row r="33" spans="1:19">
      <c r="A33" s="368">
        <f t="shared" ref="A33:A34" si="10">+A32+1</f>
        <v>18</v>
      </c>
      <c r="B33" s="372" t="s">
        <v>477</v>
      </c>
      <c r="C33" s="372" t="str">
        <f>+C32</f>
        <v xml:space="preserve">December </v>
      </c>
      <c r="D33" s="915">
        <f>+D32+1</f>
        <v>2022</v>
      </c>
      <c r="F33" s="916">
        <v>0</v>
      </c>
      <c r="G33" s="916">
        <v>0</v>
      </c>
      <c r="H33" s="916">
        <f>+G33*H12</f>
        <v>0</v>
      </c>
      <c r="I33" s="916">
        <v>-5358813.8344045598</v>
      </c>
      <c r="J33" s="916">
        <f>+I33*J12</f>
        <v>-959846.14151170151</v>
      </c>
      <c r="K33" s="916">
        <v>-100394164.65673193</v>
      </c>
      <c r="L33" s="916">
        <f>+K33*L12</f>
        <v>-9991926.6410691142</v>
      </c>
      <c r="M33" s="918">
        <f>+L33+J33+H33</f>
        <v>-10951772.782580815</v>
      </c>
    </row>
    <row r="34" spans="1:19">
      <c r="A34" s="368">
        <f t="shared" si="10"/>
        <v>19</v>
      </c>
      <c r="B34" s="372"/>
      <c r="C34" s="372" t="s">
        <v>481</v>
      </c>
      <c r="D34" s="397"/>
      <c r="F34" s="396">
        <f t="shared" ref="F34:L34" si="11">+F32/2+F33/2</f>
        <v>0</v>
      </c>
      <c r="G34" s="396">
        <f t="shared" si="11"/>
        <v>0</v>
      </c>
      <c r="H34" s="396">
        <f t="shared" si="11"/>
        <v>0</v>
      </c>
      <c r="I34" s="396">
        <f t="shared" si="11"/>
        <v>-5358813.8344045589</v>
      </c>
      <c r="J34" s="396">
        <f t="shared" si="11"/>
        <v>-959846.14151170128</v>
      </c>
      <c r="K34" s="396">
        <f t="shared" si="11"/>
        <v>-99459018.743365973</v>
      </c>
      <c r="L34" s="396">
        <f t="shared" si="11"/>
        <v>-9898854.4052773528</v>
      </c>
      <c r="M34" s="399">
        <f>+L34+J34+H34</f>
        <v>-10858700.546789054</v>
      </c>
    </row>
    <row r="35" spans="1:19">
      <c r="B35" s="372"/>
      <c r="C35" s="372"/>
      <c r="D35" s="397"/>
      <c r="E35" s="396"/>
      <c r="G35" s="400"/>
      <c r="H35" s="396"/>
      <c r="I35" s="396"/>
      <c r="J35" s="396"/>
      <c r="K35" s="396"/>
    </row>
    <row r="36" spans="1:19">
      <c r="B36" s="372"/>
      <c r="C36" s="372"/>
      <c r="D36" s="397"/>
      <c r="E36" s="396"/>
      <c r="F36" s="396"/>
      <c r="G36" s="396"/>
      <c r="I36" s="400"/>
      <c r="J36" s="396"/>
      <c r="K36" s="396"/>
    </row>
    <row r="37" spans="1:19">
      <c r="B37" s="372"/>
      <c r="C37" s="384" t="s">
        <v>482</v>
      </c>
      <c r="D37" s="397"/>
    </row>
    <row r="38" spans="1:19">
      <c r="A38" s="368">
        <f>A34+1</f>
        <v>20</v>
      </c>
      <c r="B38" s="372" t="s">
        <v>477</v>
      </c>
      <c r="C38" s="372" t="s">
        <v>196</v>
      </c>
      <c r="D38" s="915">
        <f>D32</f>
        <v>2021</v>
      </c>
      <c r="F38" s="396" t="s">
        <v>703</v>
      </c>
      <c r="G38" s="396" t="s">
        <v>703</v>
      </c>
      <c r="H38" s="396" t="s">
        <v>703</v>
      </c>
      <c r="I38" s="396" t="s">
        <v>703</v>
      </c>
      <c r="J38" s="396" t="s">
        <v>703</v>
      </c>
      <c r="K38" s="396" t="s">
        <v>703</v>
      </c>
      <c r="L38" s="396" t="s">
        <v>703</v>
      </c>
      <c r="M38" s="396" t="s">
        <v>703</v>
      </c>
    </row>
    <row r="39" spans="1:19">
      <c r="A39" s="368">
        <f t="shared" ref="A39:A40" si="12">+A38+1</f>
        <v>21</v>
      </c>
      <c r="B39" s="372" t="s">
        <v>477</v>
      </c>
      <c r="C39" s="372" t="str">
        <f>+C38</f>
        <v xml:space="preserve">December </v>
      </c>
      <c r="D39" s="915">
        <f>D33</f>
        <v>2022</v>
      </c>
      <c r="F39" s="396" t="s">
        <v>703</v>
      </c>
      <c r="G39" s="396" t="s">
        <v>703</v>
      </c>
      <c r="H39" s="396" t="s">
        <v>703</v>
      </c>
      <c r="I39" s="396" t="s">
        <v>703</v>
      </c>
      <c r="J39" s="396" t="s">
        <v>703</v>
      </c>
      <c r="K39" s="396" t="s">
        <v>703</v>
      </c>
      <c r="L39" s="396" t="s">
        <v>703</v>
      </c>
      <c r="M39" s="396" t="s">
        <v>703</v>
      </c>
    </row>
    <row r="40" spans="1:19">
      <c r="A40" s="368">
        <f t="shared" si="12"/>
        <v>22</v>
      </c>
      <c r="B40" s="372"/>
      <c r="C40" s="372" t="s">
        <v>481</v>
      </c>
      <c r="D40" s="397"/>
      <c r="F40" s="396" t="s">
        <v>703</v>
      </c>
      <c r="G40" s="396" t="s">
        <v>703</v>
      </c>
      <c r="H40" s="396" t="s">
        <v>703</v>
      </c>
      <c r="I40" s="396" t="s">
        <v>703</v>
      </c>
      <c r="J40" s="396" t="s">
        <v>703</v>
      </c>
      <c r="K40" s="396" t="s">
        <v>703</v>
      </c>
      <c r="L40" s="396" t="s">
        <v>703</v>
      </c>
      <c r="M40" s="396" t="s">
        <v>703</v>
      </c>
    </row>
    <row r="41" spans="1:19">
      <c r="B41" s="372"/>
      <c r="C41" s="372"/>
      <c r="D41" s="397"/>
      <c r="E41" s="396"/>
      <c r="F41" s="396"/>
      <c r="G41" s="396"/>
      <c r="H41" s="396"/>
      <c r="I41" s="396"/>
      <c r="J41" s="396"/>
      <c r="K41" s="396"/>
      <c r="L41" s="399"/>
    </row>
    <row r="42" spans="1:19">
      <c r="B42" s="372"/>
      <c r="C42" s="372"/>
      <c r="D42" s="397"/>
      <c r="E42" s="401"/>
      <c r="F42" s="401"/>
      <c r="G42" s="401"/>
      <c r="H42" s="401"/>
      <c r="I42" s="401"/>
      <c r="J42" s="401"/>
      <c r="K42" s="401"/>
    </row>
    <row r="43" spans="1:19">
      <c r="B43" s="372"/>
      <c r="C43" s="384" t="s">
        <v>483</v>
      </c>
      <c r="D43" s="397"/>
      <c r="E43" s="401"/>
      <c r="F43" s="401"/>
      <c r="G43" s="401"/>
      <c r="H43" s="401"/>
      <c r="I43" s="401"/>
      <c r="J43" s="401"/>
      <c r="K43" s="401"/>
    </row>
    <row r="44" spans="1:19" ht="15.5">
      <c r="A44" s="368">
        <f>+A40+1</f>
        <v>23</v>
      </c>
      <c r="B44" s="369" t="s">
        <v>477</v>
      </c>
      <c r="C44" s="369" t="s">
        <v>196</v>
      </c>
      <c r="D44" s="915">
        <f>D15</f>
        <v>2021</v>
      </c>
      <c r="E44" s="385">
        <v>1</v>
      </c>
      <c r="F44" s="916">
        <v>0</v>
      </c>
      <c r="G44" s="916">
        <f>+'4C - ADIT EOY'!E76</f>
        <v>0</v>
      </c>
      <c r="H44" s="916">
        <f t="shared" ref="H44:H56" si="13">+H$12*G44</f>
        <v>0</v>
      </c>
      <c r="I44" s="916">
        <f>'4C - ADIT EOY'!F76</f>
        <v>14517640.679659545</v>
      </c>
      <c r="J44" s="916">
        <f t="shared" ref="J44:J56" si="14">+I44*J$12</f>
        <v>2600333.1746218186</v>
      </c>
      <c r="K44" s="916">
        <f>'4C - ADIT EOY'!G76</f>
        <v>83480859.700000003</v>
      </c>
      <c r="L44" s="916">
        <f>+K44*L$12</f>
        <v>8308596.708861107</v>
      </c>
      <c r="M44" s="917">
        <f>+L44+J44+H44</f>
        <v>10908929.883482926</v>
      </c>
      <c r="N44" s="398"/>
      <c r="O44" s="402"/>
      <c r="P44" s="402"/>
      <c r="Q44" s="402"/>
      <c r="R44" s="402"/>
      <c r="S44" s="402"/>
    </row>
    <row r="45" spans="1:19" ht="15.5">
      <c r="A45" s="368">
        <f>+A44+1</f>
        <v>24</v>
      </c>
      <c r="B45" s="369" t="s">
        <v>478</v>
      </c>
      <c r="C45" s="369" t="s">
        <v>84</v>
      </c>
      <c r="D45" s="915">
        <f>+D44+1</f>
        <v>2022</v>
      </c>
      <c r="E45" s="385">
        <v>0.9178082191780822</v>
      </c>
      <c r="F45" s="916">
        <v>0</v>
      </c>
      <c r="G45" s="916">
        <v>0</v>
      </c>
      <c r="H45" s="916">
        <f t="shared" si="13"/>
        <v>0</v>
      </c>
      <c r="I45" s="916">
        <v>0</v>
      </c>
      <c r="J45" s="916">
        <f t="shared" si="14"/>
        <v>0</v>
      </c>
      <c r="K45" s="916">
        <v>0</v>
      </c>
      <c r="L45" s="916">
        <f t="shared" ref="L45:L56" si="15">+K45*L$12</f>
        <v>0</v>
      </c>
      <c r="M45" s="917">
        <f t="shared" ref="M45:M55" si="16">(L45+J45+H45)*E45</f>
        <v>0</v>
      </c>
      <c r="N45" s="388"/>
      <c r="O45" s="403"/>
      <c r="P45" s="402"/>
      <c r="Q45" s="402"/>
      <c r="R45" s="402"/>
      <c r="S45" s="403"/>
    </row>
    <row r="46" spans="1:19" ht="15.5">
      <c r="A46" s="368">
        <f t="shared" ref="A46:A56" si="17">+A45+1</f>
        <v>25</v>
      </c>
      <c r="B46" s="369" t="s">
        <v>478</v>
      </c>
      <c r="C46" s="372" t="s">
        <v>83</v>
      </c>
      <c r="D46" s="915">
        <f>+D45</f>
        <v>2022</v>
      </c>
      <c r="E46" s="385">
        <v>0.84109589041095889</v>
      </c>
      <c r="F46" s="916">
        <v>0</v>
      </c>
      <c r="G46" s="916">
        <v>0</v>
      </c>
      <c r="H46" s="916">
        <f t="shared" si="13"/>
        <v>0</v>
      </c>
      <c r="I46" s="916">
        <v>0</v>
      </c>
      <c r="J46" s="916">
        <f t="shared" si="14"/>
        <v>0</v>
      </c>
      <c r="K46" s="916">
        <v>0</v>
      </c>
      <c r="L46" s="916">
        <f t="shared" si="15"/>
        <v>0</v>
      </c>
      <c r="M46" s="917">
        <f t="shared" si="16"/>
        <v>0</v>
      </c>
      <c r="N46" s="388"/>
      <c r="O46" s="403"/>
      <c r="P46" s="402"/>
      <c r="Q46" s="402"/>
      <c r="R46" s="402"/>
      <c r="S46" s="403"/>
    </row>
    <row r="47" spans="1:19" ht="15.5">
      <c r="A47" s="368">
        <f t="shared" si="17"/>
        <v>26</v>
      </c>
      <c r="B47" s="369" t="s">
        <v>478</v>
      </c>
      <c r="C47" s="372" t="s">
        <v>82</v>
      </c>
      <c r="D47" s="915">
        <f t="shared" ref="D47:D57" si="18">+D46</f>
        <v>2022</v>
      </c>
      <c r="E47" s="385">
        <v>0.75616438356164384</v>
      </c>
      <c r="F47" s="916">
        <v>0</v>
      </c>
      <c r="G47" s="916">
        <v>0</v>
      </c>
      <c r="H47" s="916">
        <f t="shared" si="13"/>
        <v>0</v>
      </c>
      <c r="I47" s="916">
        <v>0</v>
      </c>
      <c r="J47" s="916">
        <f t="shared" si="14"/>
        <v>0</v>
      </c>
      <c r="K47" s="916">
        <v>0</v>
      </c>
      <c r="L47" s="916">
        <f t="shared" si="15"/>
        <v>0</v>
      </c>
      <c r="M47" s="917">
        <f t="shared" si="16"/>
        <v>0</v>
      </c>
      <c r="N47" s="388"/>
      <c r="O47" s="403"/>
      <c r="P47" s="402"/>
      <c r="Q47" s="402"/>
      <c r="R47" s="402"/>
      <c r="S47" s="403"/>
    </row>
    <row r="48" spans="1:19" ht="15.5">
      <c r="A48" s="368">
        <f t="shared" si="17"/>
        <v>27</v>
      </c>
      <c r="B48" s="369" t="s">
        <v>478</v>
      </c>
      <c r="C48" s="372" t="s">
        <v>74</v>
      </c>
      <c r="D48" s="915">
        <f t="shared" si="18"/>
        <v>2022</v>
      </c>
      <c r="E48" s="385">
        <v>0.67397260273972603</v>
      </c>
      <c r="F48" s="916">
        <v>0</v>
      </c>
      <c r="G48" s="916">
        <v>0</v>
      </c>
      <c r="H48" s="916">
        <f t="shared" si="13"/>
        <v>0</v>
      </c>
      <c r="I48" s="916">
        <v>0</v>
      </c>
      <c r="J48" s="916">
        <f t="shared" si="14"/>
        <v>0</v>
      </c>
      <c r="K48" s="916">
        <v>0</v>
      </c>
      <c r="L48" s="916">
        <f t="shared" si="15"/>
        <v>0</v>
      </c>
      <c r="M48" s="917">
        <f t="shared" si="16"/>
        <v>0</v>
      </c>
      <c r="N48" s="388"/>
      <c r="O48" s="403"/>
      <c r="P48" s="402"/>
      <c r="Q48" s="402"/>
      <c r="R48" s="402"/>
      <c r="S48" s="403"/>
    </row>
    <row r="49" spans="1:19" ht="15.5">
      <c r="A49" s="368">
        <f t="shared" si="17"/>
        <v>28</v>
      </c>
      <c r="B49" s="369" t="s">
        <v>478</v>
      </c>
      <c r="C49" s="372" t="s">
        <v>73</v>
      </c>
      <c r="D49" s="915">
        <f t="shared" si="18"/>
        <v>2022</v>
      </c>
      <c r="E49" s="385">
        <v>0.58904109589041098</v>
      </c>
      <c r="F49" s="916">
        <v>0</v>
      </c>
      <c r="G49" s="916">
        <v>0</v>
      </c>
      <c r="H49" s="916">
        <f t="shared" si="13"/>
        <v>0</v>
      </c>
      <c r="I49" s="916">
        <v>0</v>
      </c>
      <c r="J49" s="916">
        <f t="shared" si="14"/>
        <v>0</v>
      </c>
      <c r="K49" s="916">
        <v>0</v>
      </c>
      <c r="L49" s="916">
        <f t="shared" si="15"/>
        <v>0</v>
      </c>
      <c r="M49" s="917">
        <f t="shared" si="16"/>
        <v>0</v>
      </c>
      <c r="N49" s="388"/>
      <c r="O49" s="403"/>
      <c r="P49" s="402"/>
      <c r="Q49" s="402"/>
      <c r="R49" s="402"/>
      <c r="S49" s="403"/>
    </row>
    <row r="50" spans="1:19" ht="15.5">
      <c r="A50" s="368">
        <f t="shared" si="17"/>
        <v>29</v>
      </c>
      <c r="B50" s="369" t="s">
        <v>478</v>
      </c>
      <c r="C50" s="372" t="s">
        <v>93</v>
      </c>
      <c r="D50" s="915">
        <f t="shared" si="18"/>
        <v>2022</v>
      </c>
      <c r="E50" s="385">
        <v>0.50684931506849318</v>
      </c>
      <c r="F50" s="916">
        <v>0</v>
      </c>
      <c r="G50" s="916">
        <v>0</v>
      </c>
      <c r="H50" s="916">
        <f t="shared" si="13"/>
        <v>0</v>
      </c>
      <c r="I50" s="916">
        <v>0</v>
      </c>
      <c r="J50" s="916">
        <f t="shared" si="14"/>
        <v>0</v>
      </c>
      <c r="K50" s="916">
        <v>0</v>
      </c>
      <c r="L50" s="916">
        <f t="shared" si="15"/>
        <v>0</v>
      </c>
      <c r="M50" s="917">
        <f t="shared" si="16"/>
        <v>0</v>
      </c>
      <c r="N50" s="388"/>
      <c r="O50" s="403"/>
      <c r="P50" s="402"/>
      <c r="Q50" s="402"/>
      <c r="R50" s="402"/>
      <c r="S50" s="403"/>
    </row>
    <row r="51" spans="1:19" ht="15.5">
      <c r="A51" s="368">
        <f t="shared" si="17"/>
        <v>30</v>
      </c>
      <c r="B51" s="369" t="s">
        <v>478</v>
      </c>
      <c r="C51" s="372" t="s">
        <v>81</v>
      </c>
      <c r="D51" s="915">
        <f t="shared" si="18"/>
        <v>2022</v>
      </c>
      <c r="E51" s="385">
        <v>0.42191780821917807</v>
      </c>
      <c r="F51" s="916">
        <v>0</v>
      </c>
      <c r="G51" s="916">
        <v>0</v>
      </c>
      <c r="H51" s="916">
        <f t="shared" si="13"/>
        <v>0</v>
      </c>
      <c r="I51" s="916">
        <v>0</v>
      </c>
      <c r="J51" s="916">
        <f t="shared" si="14"/>
        <v>0</v>
      </c>
      <c r="K51" s="916">
        <v>0</v>
      </c>
      <c r="L51" s="916">
        <f t="shared" si="15"/>
        <v>0</v>
      </c>
      <c r="M51" s="917">
        <f t="shared" si="16"/>
        <v>0</v>
      </c>
      <c r="N51" s="388"/>
      <c r="O51" s="403"/>
      <c r="P51" s="402"/>
      <c r="Q51" s="402"/>
      <c r="R51" s="402"/>
      <c r="S51" s="403"/>
    </row>
    <row r="52" spans="1:19" ht="15.5">
      <c r="A52" s="368">
        <f t="shared" si="17"/>
        <v>31</v>
      </c>
      <c r="B52" s="369" t="s">
        <v>478</v>
      </c>
      <c r="C52" s="372" t="s">
        <v>80</v>
      </c>
      <c r="D52" s="915">
        <f t="shared" si="18"/>
        <v>2022</v>
      </c>
      <c r="E52" s="385">
        <v>0.33698630136986302</v>
      </c>
      <c r="F52" s="916">
        <v>0</v>
      </c>
      <c r="G52" s="916">
        <v>0</v>
      </c>
      <c r="H52" s="916">
        <f t="shared" si="13"/>
        <v>0</v>
      </c>
      <c r="I52" s="916">
        <v>0</v>
      </c>
      <c r="J52" s="916">
        <f t="shared" si="14"/>
        <v>0</v>
      </c>
      <c r="K52" s="916">
        <v>0</v>
      </c>
      <c r="L52" s="916">
        <f t="shared" si="15"/>
        <v>0</v>
      </c>
      <c r="M52" s="917">
        <f t="shared" si="16"/>
        <v>0</v>
      </c>
      <c r="N52" s="388"/>
      <c r="O52" s="403"/>
      <c r="P52" s="402"/>
      <c r="Q52" s="402"/>
      <c r="R52" s="402"/>
      <c r="S52" s="403"/>
    </row>
    <row r="53" spans="1:19" ht="15.5">
      <c r="A53" s="368">
        <f t="shared" si="17"/>
        <v>32</v>
      </c>
      <c r="B53" s="369" t="s">
        <v>478</v>
      </c>
      <c r="C53" s="372" t="s">
        <v>79</v>
      </c>
      <c r="D53" s="915">
        <f t="shared" si="18"/>
        <v>2022</v>
      </c>
      <c r="E53" s="385">
        <v>0.25479452054794521</v>
      </c>
      <c r="F53" s="916">
        <v>0</v>
      </c>
      <c r="G53" s="916">
        <v>0</v>
      </c>
      <c r="H53" s="916">
        <f t="shared" si="13"/>
        <v>0</v>
      </c>
      <c r="I53" s="916">
        <v>0</v>
      </c>
      <c r="J53" s="916">
        <f t="shared" si="14"/>
        <v>0</v>
      </c>
      <c r="K53" s="916">
        <v>0</v>
      </c>
      <c r="L53" s="916">
        <f t="shared" si="15"/>
        <v>0</v>
      </c>
      <c r="M53" s="917">
        <f t="shared" si="16"/>
        <v>0</v>
      </c>
      <c r="N53" s="388"/>
      <c r="O53" s="403"/>
      <c r="P53" s="402"/>
      <c r="Q53" s="402"/>
      <c r="R53" s="402"/>
      <c r="S53" s="403"/>
    </row>
    <row r="54" spans="1:19" ht="15.5">
      <c r="A54" s="368">
        <f t="shared" si="17"/>
        <v>33</v>
      </c>
      <c r="B54" s="369" t="s">
        <v>478</v>
      </c>
      <c r="C54" s="372" t="s">
        <v>85</v>
      </c>
      <c r="D54" s="915">
        <f t="shared" si="18"/>
        <v>2022</v>
      </c>
      <c r="E54" s="385">
        <v>0.16986301369863013</v>
      </c>
      <c r="F54" s="916">
        <v>0</v>
      </c>
      <c r="G54" s="916">
        <v>0</v>
      </c>
      <c r="H54" s="916">
        <f t="shared" si="13"/>
        <v>0</v>
      </c>
      <c r="I54" s="916">
        <v>0</v>
      </c>
      <c r="J54" s="916">
        <f t="shared" si="14"/>
        <v>0</v>
      </c>
      <c r="K54" s="916">
        <v>0</v>
      </c>
      <c r="L54" s="916">
        <f t="shared" si="15"/>
        <v>0</v>
      </c>
      <c r="M54" s="917">
        <f t="shared" si="16"/>
        <v>0</v>
      </c>
      <c r="N54" s="388"/>
      <c r="O54" s="403"/>
      <c r="P54" s="402"/>
      <c r="Q54" s="402"/>
      <c r="R54" s="402"/>
      <c r="S54" s="403"/>
    </row>
    <row r="55" spans="1:19" ht="15.5">
      <c r="A55" s="368">
        <f t="shared" si="17"/>
        <v>34</v>
      </c>
      <c r="B55" s="369" t="s">
        <v>478</v>
      </c>
      <c r="C55" s="372" t="s">
        <v>78</v>
      </c>
      <c r="D55" s="915">
        <f t="shared" si="18"/>
        <v>2022</v>
      </c>
      <c r="E55" s="385">
        <v>8.7671232876712329E-2</v>
      </c>
      <c r="F55" s="916">
        <v>0</v>
      </c>
      <c r="G55" s="916">
        <v>0</v>
      </c>
      <c r="H55" s="916">
        <f t="shared" si="13"/>
        <v>0</v>
      </c>
      <c r="I55" s="916">
        <v>0</v>
      </c>
      <c r="J55" s="916">
        <f t="shared" si="14"/>
        <v>0</v>
      </c>
      <c r="K55" s="916">
        <v>0</v>
      </c>
      <c r="L55" s="916">
        <f t="shared" si="15"/>
        <v>0</v>
      </c>
      <c r="M55" s="917">
        <f t="shared" si="16"/>
        <v>0</v>
      </c>
      <c r="N55" s="388"/>
      <c r="O55" s="403"/>
      <c r="P55" s="402"/>
      <c r="Q55" s="402"/>
      <c r="R55" s="402"/>
      <c r="S55" s="403"/>
    </row>
    <row r="56" spans="1:19" ht="15.5">
      <c r="A56" s="368">
        <f t="shared" si="17"/>
        <v>35</v>
      </c>
      <c r="B56" s="369" t="s">
        <v>478</v>
      </c>
      <c r="C56" s="369" t="str">
        <f>+C44</f>
        <v xml:space="preserve">December </v>
      </c>
      <c r="D56" s="915">
        <f t="shared" si="18"/>
        <v>2022</v>
      </c>
      <c r="E56" s="385">
        <v>2.7397260273972603E-3</v>
      </c>
      <c r="F56" s="916">
        <v>0</v>
      </c>
      <c r="G56" s="916">
        <v>0</v>
      </c>
      <c r="H56" s="916">
        <f t="shared" si="13"/>
        <v>0</v>
      </c>
      <c r="I56" s="916">
        <v>10199344.713904999</v>
      </c>
      <c r="J56" s="916">
        <f t="shared" si="14"/>
        <v>1826859.8186294837</v>
      </c>
      <c r="K56" s="916">
        <v>63284133.710755751</v>
      </c>
      <c r="L56" s="916">
        <f t="shared" si="15"/>
        <v>6298477.8422485683</v>
      </c>
      <c r="M56" s="917">
        <f>+L56+J56+H56</f>
        <v>8125337.660878052</v>
      </c>
      <c r="N56" s="398"/>
      <c r="O56" s="403"/>
      <c r="P56" s="402"/>
      <c r="Q56" s="402"/>
      <c r="R56" s="402"/>
      <c r="S56" s="403"/>
    </row>
    <row r="57" spans="1:19">
      <c r="A57" s="368">
        <f>+A56+1</f>
        <v>36</v>
      </c>
      <c r="B57" s="369" t="s">
        <v>479</v>
      </c>
      <c r="D57" s="915">
        <f t="shared" si="18"/>
        <v>2022</v>
      </c>
      <c r="E57" s="395" t="s">
        <v>477</v>
      </c>
      <c r="F57" s="396">
        <f>SUM(F44:F56)</f>
        <v>0</v>
      </c>
      <c r="G57" s="395"/>
      <c r="H57" s="395"/>
      <c r="I57" s="395"/>
      <c r="J57" s="401"/>
      <c r="K57" s="401"/>
      <c r="M57" s="404">
        <f>+M44/2+M56/2</f>
        <v>9517133.7721804883</v>
      </c>
    </row>
    <row r="58" spans="1:19">
      <c r="B58" s="372" t="s">
        <v>1093</v>
      </c>
      <c r="C58" s="372"/>
      <c r="D58" s="397"/>
      <c r="F58" s="396"/>
      <c r="G58" s="396"/>
      <c r="H58" s="396"/>
      <c r="I58" s="396"/>
      <c r="J58" s="396"/>
      <c r="K58" s="396"/>
      <c r="L58" s="396"/>
      <c r="M58" s="399"/>
    </row>
    <row r="59" spans="1:19">
      <c r="D59" s="405"/>
      <c r="E59" s="396"/>
      <c r="F59" s="400"/>
      <c r="G59" s="400"/>
      <c r="H59" s="396"/>
      <c r="I59" s="396"/>
      <c r="J59" s="396"/>
      <c r="K59" s="396"/>
    </row>
    <row r="60" spans="1:19">
      <c r="A60" s="368">
        <f>+A57+1</f>
        <v>37</v>
      </c>
      <c r="B60" s="369" t="s">
        <v>918</v>
      </c>
      <c r="D60" s="405"/>
      <c r="E60" s="396"/>
      <c r="F60" s="400"/>
      <c r="G60" s="400"/>
      <c r="H60" s="396"/>
      <c r="I60" s="396"/>
      <c r="J60" s="396"/>
      <c r="K60" s="396"/>
      <c r="M60" s="399">
        <f>+M30+M34+M57</f>
        <v>-220692435.02050698</v>
      </c>
    </row>
    <row r="63" spans="1:19" ht="15.5">
      <c r="M63" s="371" t="s">
        <v>484</v>
      </c>
    </row>
    <row r="64" spans="1:19" ht="15.5">
      <c r="M64" s="371" t="s">
        <v>154</v>
      </c>
    </row>
    <row r="65" spans="1:13" ht="15.5">
      <c r="A65" s="406"/>
      <c r="B65" s="407"/>
      <c r="C65" s="407"/>
      <c r="D65" s="407"/>
      <c r="E65" s="407"/>
      <c r="F65" s="407"/>
      <c r="G65" s="407" t="str">
        <f>$G$3</f>
        <v>PECO Energy Company</v>
      </c>
      <c r="H65" s="407"/>
      <c r="I65" s="407"/>
      <c r="J65" s="407"/>
      <c r="K65" s="407"/>
      <c r="L65" s="407"/>
      <c r="M65" s="407"/>
    </row>
    <row r="66" spans="1:13">
      <c r="A66" s="1131" t="s">
        <v>485</v>
      </c>
      <c r="B66" s="1131"/>
      <c r="C66" s="1131"/>
      <c r="D66" s="1131"/>
      <c r="E66" s="1131"/>
      <c r="F66" s="1131"/>
      <c r="G66" s="1131"/>
      <c r="H66" s="1131"/>
      <c r="I66" s="1131"/>
      <c r="J66" s="1131"/>
      <c r="K66" s="1131"/>
      <c r="L66" s="1131"/>
      <c r="M66" s="1131"/>
    </row>
    <row r="67" spans="1:13" ht="15.5">
      <c r="A67" s="377" t="s">
        <v>486</v>
      </c>
      <c r="K67" s="400"/>
      <c r="M67" s="371" t="s">
        <v>1773</v>
      </c>
    </row>
    <row r="68" spans="1:13">
      <c r="A68" s="376"/>
      <c r="K68" s="400"/>
    </row>
    <row r="69" spans="1:13">
      <c r="A69" s="376"/>
      <c r="K69" s="400"/>
    </row>
    <row r="70" spans="1:13">
      <c r="A70" s="376"/>
      <c r="B70" s="369" t="s">
        <v>198</v>
      </c>
      <c r="C70" s="369" t="s">
        <v>199</v>
      </c>
      <c r="D70" s="370" t="s">
        <v>200</v>
      </c>
      <c r="E70" s="368" t="s">
        <v>201</v>
      </c>
      <c r="F70" s="368" t="s">
        <v>203</v>
      </c>
      <c r="G70" s="368" t="s">
        <v>202</v>
      </c>
      <c r="H70" s="368" t="s">
        <v>204</v>
      </c>
      <c r="I70" s="368" t="s">
        <v>1094</v>
      </c>
      <c r="J70" s="368" t="s">
        <v>206</v>
      </c>
      <c r="K70" s="368" t="s">
        <v>244</v>
      </c>
      <c r="L70" s="368" t="s">
        <v>248</v>
      </c>
      <c r="M70" s="368" t="s">
        <v>453</v>
      </c>
    </row>
    <row r="71" spans="1:13">
      <c r="A71" s="376"/>
      <c r="B71" s="368" t="s">
        <v>477</v>
      </c>
      <c r="C71" s="369" t="s">
        <v>167</v>
      </c>
      <c r="D71" s="370" t="s">
        <v>75</v>
      </c>
      <c r="E71" s="368" t="s">
        <v>455</v>
      </c>
      <c r="F71" s="368" t="s">
        <v>477</v>
      </c>
      <c r="G71" s="378">
        <v>1</v>
      </c>
      <c r="H71" s="368" t="s">
        <v>457</v>
      </c>
      <c r="I71" s="368" t="s">
        <v>458</v>
      </c>
      <c r="J71" s="368" t="s">
        <v>1075</v>
      </c>
      <c r="K71" s="368" t="s">
        <v>459</v>
      </c>
      <c r="L71" s="368" t="s">
        <v>460</v>
      </c>
      <c r="M71" s="368" t="s">
        <v>227</v>
      </c>
    </row>
    <row r="72" spans="1:13">
      <c r="A72" s="376"/>
      <c r="B72" s="368"/>
      <c r="E72" s="368" t="s">
        <v>462</v>
      </c>
      <c r="F72" s="368" t="s">
        <v>487</v>
      </c>
      <c r="G72" s="368" t="s">
        <v>17</v>
      </c>
      <c r="H72" s="378" t="s">
        <v>464</v>
      </c>
      <c r="I72" s="368" t="s">
        <v>465</v>
      </c>
      <c r="J72" s="378" t="s">
        <v>466</v>
      </c>
      <c r="K72" s="368" t="s">
        <v>467</v>
      </c>
      <c r="L72" s="378" t="s">
        <v>468</v>
      </c>
      <c r="M72" s="368" t="s">
        <v>469</v>
      </c>
    </row>
    <row r="73" spans="1:13">
      <c r="A73" s="376"/>
      <c r="B73" s="368"/>
      <c r="E73" s="368"/>
      <c r="F73" s="368" t="s">
        <v>488</v>
      </c>
      <c r="G73" s="368"/>
      <c r="H73" s="379">
        <v>1</v>
      </c>
      <c r="I73" s="368"/>
      <c r="J73" s="380">
        <f>+J12</f>
        <v>0.17911541083015697</v>
      </c>
      <c r="K73" s="381"/>
      <c r="L73" s="380">
        <f>+L12</f>
        <v>9.9526966285675506E-2</v>
      </c>
      <c r="M73" s="368" t="s">
        <v>471</v>
      </c>
    </row>
    <row r="74" spans="1:13">
      <c r="A74" s="376"/>
      <c r="B74" s="368"/>
      <c r="E74" s="368"/>
      <c r="F74" s="368" t="s">
        <v>489</v>
      </c>
      <c r="G74" s="368"/>
      <c r="H74" s="382"/>
      <c r="I74" s="368"/>
      <c r="J74" s="368" t="s">
        <v>473</v>
      </c>
      <c r="K74" s="368"/>
      <c r="L74" s="368" t="s">
        <v>473</v>
      </c>
      <c r="M74" s="368"/>
    </row>
    <row r="75" spans="1:13">
      <c r="B75" s="372"/>
      <c r="C75" s="384" t="s">
        <v>474</v>
      </c>
      <c r="E75" s="368"/>
      <c r="F75" s="368"/>
      <c r="G75" s="368"/>
      <c r="H75" s="368"/>
      <c r="I75" s="368"/>
      <c r="J75" s="368" t="s">
        <v>475</v>
      </c>
      <c r="K75" s="368"/>
      <c r="L75" s="368" t="s">
        <v>476</v>
      </c>
      <c r="M75" s="368"/>
    </row>
    <row r="76" spans="1:13">
      <c r="A76" s="368">
        <f>+A60+1</f>
        <v>38</v>
      </c>
      <c r="B76" s="372" t="s">
        <v>477</v>
      </c>
      <c r="C76" s="372" t="s">
        <v>196</v>
      </c>
      <c r="D76" s="1073">
        <v>2020</v>
      </c>
      <c r="F76" s="396">
        <f>'4B - ADIT BOY'!C116</f>
        <v>-754356825.00000131</v>
      </c>
      <c r="G76" s="396">
        <f>'4B - ADIT BOY'!E116</f>
        <v>-204512755.51604444</v>
      </c>
      <c r="H76" s="396"/>
      <c r="I76" s="396">
        <f>'4B - ADIT BOY'!F116</f>
        <v>0</v>
      </c>
      <c r="J76" s="396">
        <f>+J73*I76</f>
        <v>0</v>
      </c>
      <c r="K76" s="396">
        <f>'4B - ADIT BOY'!G116</f>
        <v>-32036440.323466908</v>
      </c>
      <c r="L76" s="396"/>
      <c r="M76" s="396"/>
    </row>
    <row r="77" spans="1:13">
      <c r="A77" s="368">
        <f>+A76+1</f>
        <v>39</v>
      </c>
      <c r="B77" s="372" t="s">
        <v>477</v>
      </c>
      <c r="C77" s="372" t="str">
        <f>+C76</f>
        <v xml:space="preserve">December </v>
      </c>
      <c r="D77" s="1073">
        <v>2021</v>
      </c>
      <c r="F77" s="396">
        <f>'4C - ADIT EOY'!C111</f>
        <v>-785416583</v>
      </c>
      <c r="G77" s="396">
        <f>'4C - ADIT EOY'!E111</f>
        <v>-212180461</v>
      </c>
      <c r="H77" s="396"/>
      <c r="I77" s="396">
        <f>'4C - ADIT EOY'!F111</f>
        <v>0</v>
      </c>
      <c r="J77" s="396">
        <f>+I77*J73</f>
        <v>0</v>
      </c>
      <c r="K77" s="396">
        <f>'4C - ADIT EOY'!G111</f>
        <v>-32167980</v>
      </c>
      <c r="L77" s="396"/>
      <c r="M77" s="404"/>
    </row>
    <row r="78" spans="1:13">
      <c r="A78" s="368">
        <f>+A77+1</f>
        <v>40</v>
      </c>
      <c r="B78" s="372"/>
      <c r="C78" s="372" t="s">
        <v>481</v>
      </c>
      <c r="D78" s="397"/>
      <c r="F78" s="396">
        <f>+F76/2+F77/2</f>
        <v>-769886704.00000072</v>
      </c>
      <c r="G78" s="396">
        <f>+G76/2+G77/2</f>
        <v>-208346608.25802222</v>
      </c>
      <c r="H78" s="396">
        <f>+H$12*G78</f>
        <v>-208346608.25802222</v>
      </c>
      <c r="I78" s="396">
        <f>+I76/2+I77/2</f>
        <v>0</v>
      </c>
      <c r="J78" s="396">
        <f>+I78*J$12</f>
        <v>0</v>
      </c>
      <c r="K78" s="396">
        <f>+K76/2+K77/2</f>
        <v>-32102210.161733456</v>
      </c>
      <c r="L78" s="396">
        <f>+L73*K78</f>
        <v>-3195035.5884625153</v>
      </c>
      <c r="M78" s="404">
        <f>+L78+J78+H78</f>
        <v>-211541643.84648472</v>
      </c>
    </row>
    <row r="79" spans="1:13">
      <c r="D79" s="397"/>
    </row>
    <row r="80" spans="1:13">
      <c r="D80" s="397"/>
    </row>
    <row r="81" spans="1:14">
      <c r="B81" s="372"/>
      <c r="C81" s="384" t="s">
        <v>480</v>
      </c>
      <c r="D81" s="397"/>
    </row>
    <row r="82" spans="1:14">
      <c r="A82" s="368">
        <f>+A78+1</f>
        <v>41</v>
      </c>
      <c r="B82" s="372" t="s">
        <v>477</v>
      </c>
      <c r="C82" s="372" t="s">
        <v>196</v>
      </c>
      <c r="D82" s="1073">
        <v>2020</v>
      </c>
      <c r="F82" s="396">
        <f>'4B - ADIT BOY'!C177</f>
        <v>-132193873.59121698</v>
      </c>
      <c r="G82" s="396">
        <f>'4B - ADIT BOY'!E177</f>
        <v>0</v>
      </c>
      <c r="H82" s="396">
        <f>+G82*H73</f>
        <v>0</v>
      </c>
      <c r="I82" s="396">
        <f>'4B - ADIT BOY'!F177</f>
        <v>-6136756.1779319942</v>
      </c>
      <c r="J82" s="396">
        <f>+I82*J73</f>
        <v>-1099187.6039747931</v>
      </c>
      <c r="K82" s="396">
        <f>'4B - ADIT BOY'!G177</f>
        <v>-97024112.439999998</v>
      </c>
      <c r="L82" s="396">
        <f>+K82*L73</f>
        <v>-9656515.5677134693</v>
      </c>
      <c r="M82" s="399"/>
    </row>
    <row r="83" spans="1:14">
      <c r="A83" s="368">
        <f>+A82+1</f>
        <v>42</v>
      </c>
      <c r="B83" s="372" t="s">
        <v>477</v>
      </c>
      <c r="C83" s="372" t="str">
        <f>+C82</f>
        <v xml:space="preserve">December </v>
      </c>
      <c r="D83" s="1073">
        <v>2021</v>
      </c>
      <c r="F83" s="396">
        <f>'4C - ADIT EOY'!C171</f>
        <v>-134328547.04799998</v>
      </c>
      <c r="G83" s="396">
        <f>'4C - ADIT EOY'!E171</f>
        <v>0</v>
      </c>
      <c r="H83" s="396">
        <f>+G83*H73</f>
        <v>0</v>
      </c>
      <c r="I83" s="396">
        <f>'4C - ADIT EOY'!F171</f>
        <v>-5358813.8344045579</v>
      </c>
      <c r="J83" s="396">
        <f>+I83*J73</f>
        <v>-959846.14151170116</v>
      </c>
      <c r="K83" s="396">
        <f>'4C - ADIT EOY'!G171</f>
        <v>-98523872.829999998</v>
      </c>
      <c r="L83" s="396">
        <f>+K83*L73</f>
        <v>-9805782.1694855914</v>
      </c>
      <c r="M83" s="399"/>
    </row>
    <row r="84" spans="1:14">
      <c r="A84" s="368">
        <f>+A83+1</f>
        <v>43</v>
      </c>
      <c r="B84" s="372"/>
      <c r="C84" s="372" t="s">
        <v>481</v>
      </c>
      <c r="D84" s="397"/>
      <c r="F84" s="396">
        <f t="shared" ref="F84:L84" si="19">+F82/2+F83/2</f>
        <v>-133261210.31960848</v>
      </c>
      <c r="G84" s="396">
        <f t="shared" si="19"/>
        <v>0</v>
      </c>
      <c r="H84" s="396">
        <f t="shared" si="19"/>
        <v>0</v>
      </c>
      <c r="I84" s="396">
        <f t="shared" si="19"/>
        <v>-5747785.0061682761</v>
      </c>
      <c r="J84" s="396">
        <f t="shared" si="19"/>
        <v>-1029516.8727432471</v>
      </c>
      <c r="K84" s="396">
        <f t="shared" si="19"/>
        <v>-97773992.63499999</v>
      </c>
      <c r="L84" s="396">
        <f t="shared" si="19"/>
        <v>-9731148.8685995303</v>
      </c>
      <c r="M84" s="399">
        <f>+L84+J84+H84</f>
        <v>-10760665.741342777</v>
      </c>
      <c r="N84" s="401"/>
    </row>
    <row r="85" spans="1:14">
      <c r="D85" s="397"/>
      <c r="N85" s="401"/>
    </row>
    <row r="86" spans="1:14">
      <c r="D86" s="397"/>
      <c r="I86" s="399"/>
      <c r="J86" s="399"/>
      <c r="N86" s="401"/>
    </row>
    <row r="87" spans="1:14">
      <c r="C87" s="408" t="s">
        <v>482</v>
      </c>
      <c r="D87" s="397"/>
    </row>
    <row r="88" spans="1:14">
      <c r="A88" s="368">
        <f>+A84+1</f>
        <v>44</v>
      </c>
      <c r="B88" s="369" t="s">
        <v>477</v>
      </c>
      <c r="C88" s="369" t="s">
        <v>196</v>
      </c>
      <c r="D88" s="1073">
        <v>2020</v>
      </c>
      <c r="F88" s="396" t="s">
        <v>703</v>
      </c>
      <c r="G88" s="396" t="s">
        <v>703</v>
      </c>
      <c r="H88" s="396" t="s">
        <v>703</v>
      </c>
      <c r="I88" s="396" t="s">
        <v>703</v>
      </c>
      <c r="J88" s="396" t="s">
        <v>703</v>
      </c>
      <c r="K88" s="396" t="s">
        <v>703</v>
      </c>
      <c r="L88" s="396" t="s">
        <v>703</v>
      </c>
      <c r="M88" s="396" t="s">
        <v>703</v>
      </c>
    </row>
    <row r="89" spans="1:14">
      <c r="A89" s="368">
        <f>+A88+1</f>
        <v>45</v>
      </c>
      <c r="B89" s="369" t="s">
        <v>477</v>
      </c>
      <c r="C89" s="369" t="s">
        <v>196</v>
      </c>
      <c r="D89" s="1073">
        <v>2021</v>
      </c>
      <c r="F89" s="396" t="s">
        <v>703</v>
      </c>
      <c r="G89" s="396" t="s">
        <v>703</v>
      </c>
      <c r="H89" s="396" t="s">
        <v>703</v>
      </c>
      <c r="I89" s="396" t="s">
        <v>703</v>
      </c>
      <c r="J89" s="396" t="s">
        <v>703</v>
      </c>
      <c r="K89" s="396" t="s">
        <v>703</v>
      </c>
      <c r="L89" s="396" t="s">
        <v>703</v>
      </c>
      <c r="M89" s="396" t="s">
        <v>703</v>
      </c>
    </row>
    <row r="90" spans="1:14">
      <c r="A90" s="368">
        <f>+A89+1</f>
        <v>46</v>
      </c>
      <c r="C90" s="369" t="s">
        <v>481</v>
      </c>
      <c r="D90" s="397"/>
      <c r="F90" s="396" t="s">
        <v>703</v>
      </c>
      <c r="G90" s="396" t="s">
        <v>703</v>
      </c>
      <c r="H90" s="396" t="s">
        <v>703</v>
      </c>
      <c r="I90" s="396" t="s">
        <v>703</v>
      </c>
      <c r="J90" s="396" t="s">
        <v>703</v>
      </c>
      <c r="K90" s="396" t="s">
        <v>703</v>
      </c>
      <c r="L90" s="396" t="s">
        <v>703</v>
      </c>
      <c r="M90" s="396" t="s">
        <v>703</v>
      </c>
    </row>
    <row r="91" spans="1:14">
      <c r="D91" s="397"/>
    </row>
    <row r="92" spans="1:14">
      <c r="D92" s="397"/>
    </row>
    <row r="93" spans="1:14">
      <c r="C93" s="408" t="s">
        <v>483</v>
      </c>
      <c r="D93" s="397"/>
    </row>
    <row r="94" spans="1:14">
      <c r="A94" s="368">
        <f>+A90+1</f>
        <v>47</v>
      </c>
      <c r="B94" s="369" t="s">
        <v>477</v>
      </c>
      <c r="C94" s="369" t="s">
        <v>196</v>
      </c>
      <c r="D94" s="1073">
        <v>2020</v>
      </c>
      <c r="F94" s="396">
        <f>'4B - ADIT BOY'!C81</f>
        <v>171590154</v>
      </c>
      <c r="G94" s="396">
        <f>'4B - ADIT BOY'!E81</f>
        <v>0</v>
      </c>
      <c r="H94" s="396">
        <f>+G94</f>
        <v>0</v>
      </c>
      <c r="I94" s="396">
        <f>'4B - ADIT BOY'!F81</f>
        <v>20138019</v>
      </c>
      <c r="J94" s="396">
        <f>+I94*J73</f>
        <v>3607029.5464905067</v>
      </c>
      <c r="K94" s="396">
        <f>'4B - ADIT BOY'!G81</f>
        <v>95696411</v>
      </c>
      <c r="L94" s="396">
        <f>+K94*L73</f>
        <v>9524373.4712571464</v>
      </c>
      <c r="M94" s="399">
        <f>+L94+J94+H94</f>
        <v>13131403.017747654</v>
      </c>
    </row>
    <row r="95" spans="1:14">
      <c r="A95" s="368">
        <f>+A94+1</f>
        <v>48</v>
      </c>
      <c r="B95" s="369" t="s">
        <v>477</v>
      </c>
      <c r="C95" s="369" t="s">
        <v>196</v>
      </c>
      <c r="D95" s="1073">
        <v>2021</v>
      </c>
      <c r="F95" s="396">
        <f>'4C - ADIT EOY'!C76</f>
        <v>161654667.40118957</v>
      </c>
      <c r="G95" s="396">
        <f>'4C - ADIT EOY'!E76</f>
        <v>0</v>
      </c>
      <c r="H95" s="396">
        <f>+G95</f>
        <v>0</v>
      </c>
      <c r="I95" s="396">
        <f>'4C - ADIT EOY'!F76</f>
        <v>14517640.679659545</v>
      </c>
      <c r="J95" s="396">
        <f>+I95*J73</f>
        <v>2600333.1746218186</v>
      </c>
      <c r="K95" s="396">
        <f>'4C - ADIT EOY'!G76</f>
        <v>83480859.700000003</v>
      </c>
      <c r="L95" s="396">
        <f>+K95*L73</f>
        <v>8308596.708861107</v>
      </c>
      <c r="M95" s="399">
        <f>+L95+J95+H95</f>
        <v>10908929.883482926</v>
      </c>
    </row>
    <row r="96" spans="1:14">
      <c r="A96" s="368">
        <f>+A95+1</f>
        <v>49</v>
      </c>
      <c r="C96" s="369" t="s">
        <v>481</v>
      </c>
      <c r="F96" s="396">
        <f t="shared" ref="F96:L96" si="20">+F94/2+F95/2</f>
        <v>166622410.70059478</v>
      </c>
      <c r="G96" s="396">
        <f t="shared" si="20"/>
        <v>0</v>
      </c>
      <c r="H96" s="396">
        <f t="shared" si="20"/>
        <v>0</v>
      </c>
      <c r="I96" s="396">
        <f t="shared" si="20"/>
        <v>17327829.839829773</v>
      </c>
      <c r="J96" s="396">
        <f t="shared" si="20"/>
        <v>3103681.3605561629</v>
      </c>
      <c r="K96" s="396">
        <f t="shared" si="20"/>
        <v>89588635.349999994</v>
      </c>
      <c r="L96" s="396">
        <f t="shared" si="20"/>
        <v>8916485.0900591277</v>
      </c>
      <c r="M96" s="396">
        <f>+M94/2+M95/2</f>
        <v>12020166.450615291</v>
      </c>
    </row>
    <row r="97" spans="1:13">
      <c r="J97" s="396"/>
    </row>
    <row r="98" spans="1:13" ht="14.5" thickBot="1">
      <c r="A98" s="409" t="s">
        <v>324</v>
      </c>
      <c r="L98" s="404"/>
      <c r="M98" s="404"/>
    </row>
    <row r="99" spans="1:13">
      <c r="A99" s="368" t="s">
        <v>58</v>
      </c>
      <c r="B99" s="369" t="s">
        <v>1095</v>
      </c>
      <c r="L99" s="404"/>
      <c r="M99" s="404"/>
    </row>
    <row r="100" spans="1:13">
      <c r="L100" s="404"/>
    </row>
  </sheetData>
  <mergeCells count="1">
    <mergeCell ref="A66:M66"/>
  </mergeCells>
  <pageMargins left="0.7" right="0.7" top="0.75" bottom="0.75" header="0.3" footer="0.3"/>
  <pageSetup scale="50" fitToHeight="3" orientation="landscape" r:id="rId1"/>
  <rowBreaks count="1" manualBreakCount="1">
    <brk id="61" max="16383" man="1"/>
  </rowBreaks>
  <ignoredErrors>
    <ignoredError sqref="H45:H55 G44 J56 D44:D57 D38:D39 D32:D33 D16:D28 G15 H15:H27 I17:J27 H33 F17:F27 I15:J15 L15:M15 H29 G32:H32 H44:J44 L44:M44 I16:J16 L16:M16 L17:M27 J33 L33:M33 J45:J55 L56:M56 L45:M55" unlockedFormula="1"/>
    <ignoredError sqref="H56 K15 J29 I32:M32 K44 L29:M29" formula="1" unlockedFormula="1"/>
    <ignoredError sqref="J28:M2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88"/>
  <sheetViews>
    <sheetView view="pageBreakPreview" topLeftCell="A137" zoomScale="70" zoomScaleNormal="80" zoomScaleSheetLayoutView="70" workbookViewId="0">
      <selection activeCell="B40" sqref="B40"/>
    </sheetView>
  </sheetViews>
  <sheetFormatPr defaultColWidth="8.84375" defaultRowHeight="14"/>
  <cols>
    <col min="1" max="1" width="5.4609375" style="410" customWidth="1"/>
    <col min="2" max="2" width="43.69140625" style="370" customWidth="1"/>
    <col min="3" max="3" width="17.84375" style="370" customWidth="1"/>
    <col min="4" max="4" width="17" style="370" customWidth="1"/>
    <col min="5" max="5" width="19.84375" style="370" customWidth="1"/>
    <col min="6" max="7" width="16.69140625" style="370" customWidth="1"/>
    <col min="8" max="8" width="89.84375" style="370" customWidth="1"/>
    <col min="9" max="9" width="8.84375" style="369"/>
    <col min="10" max="10" width="9.53515625" style="369" customWidth="1"/>
    <col min="11" max="16384" width="8.84375" style="369"/>
  </cols>
  <sheetData>
    <row r="1" spans="1:9">
      <c r="B1" s="1132" t="s">
        <v>1003</v>
      </c>
      <c r="C1" s="1133"/>
      <c r="D1" s="1133"/>
      <c r="E1" s="1133"/>
      <c r="F1" s="1133"/>
      <c r="G1" s="1133"/>
      <c r="H1" s="1133"/>
      <c r="I1" s="372"/>
    </row>
    <row r="2" spans="1:9">
      <c r="B2" s="1134" t="str">
        <f>'4A - ADIT Summary'!$G$65</f>
        <v>PECO Energy Company</v>
      </c>
      <c r="C2" s="1135"/>
      <c r="D2" s="1135"/>
      <c r="E2" s="1135"/>
      <c r="F2" s="1135"/>
      <c r="G2" s="1135"/>
      <c r="H2" s="1135"/>
      <c r="I2" s="372"/>
    </row>
    <row r="3" spans="1:9" ht="14.5">
      <c r="B3" s="411" t="s">
        <v>490</v>
      </c>
      <c r="C3" s="412"/>
      <c r="E3" s="369"/>
      <c r="F3" s="413"/>
      <c r="G3" s="414"/>
      <c r="H3" s="415"/>
      <c r="I3" s="372"/>
    </row>
    <row r="4" spans="1:9" ht="14.5">
      <c r="B4" s="411"/>
      <c r="C4" s="412"/>
      <c r="E4" s="413"/>
      <c r="F4" s="413"/>
      <c r="G4" s="414"/>
      <c r="H4" s="416" t="s">
        <v>490</v>
      </c>
      <c r="I4" s="372"/>
    </row>
    <row r="5" spans="1:9">
      <c r="B5" s="417" t="s">
        <v>58</v>
      </c>
      <c r="C5" s="418" t="s">
        <v>59</v>
      </c>
      <c r="D5" s="418" t="s">
        <v>60</v>
      </c>
      <c r="E5" s="418" t="s">
        <v>61</v>
      </c>
      <c r="F5" s="418" t="s">
        <v>62</v>
      </c>
      <c r="G5" s="418" t="s">
        <v>63</v>
      </c>
      <c r="H5" s="416" t="s">
        <v>491</v>
      </c>
      <c r="I5" s="372"/>
    </row>
    <row r="6" spans="1:9" ht="14.5">
      <c r="B6" s="412"/>
      <c r="C6" s="369"/>
      <c r="D6" s="419" t="s">
        <v>1328</v>
      </c>
      <c r="E6" s="413" t="s">
        <v>1327</v>
      </c>
      <c r="F6" s="413" t="s">
        <v>506</v>
      </c>
      <c r="G6" s="413" t="s">
        <v>459</v>
      </c>
      <c r="H6" s="369"/>
      <c r="I6" s="372"/>
    </row>
    <row r="7" spans="1:9" ht="14.5">
      <c r="B7" s="412"/>
      <c r="C7" s="384" t="s">
        <v>13</v>
      </c>
      <c r="D7" s="419" t="s">
        <v>1329</v>
      </c>
      <c r="E7" s="413" t="s">
        <v>467</v>
      </c>
      <c r="F7" s="413" t="s">
        <v>467</v>
      </c>
      <c r="G7" s="413" t="s">
        <v>467</v>
      </c>
      <c r="H7" s="412"/>
      <c r="I7" s="372"/>
    </row>
    <row r="8" spans="1:9" ht="3.75" customHeight="1">
      <c r="B8" s="412"/>
      <c r="C8" s="412"/>
      <c r="E8" s="414"/>
      <c r="F8" s="414"/>
      <c r="G8" s="414"/>
      <c r="H8" s="416"/>
      <c r="I8" s="372"/>
    </row>
    <row r="9" spans="1:9" ht="14.5">
      <c r="A9" s="410" t="s">
        <v>493</v>
      </c>
      <c r="B9" s="420" t="s">
        <v>474</v>
      </c>
      <c r="C9" s="414">
        <f>+C116</f>
        <v>-754356825.00000131</v>
      </c>
      <c r="D9" s="419"/>
      <c r="E9" s="414">
        <f>E116</f>
        <v>-204512755.51604444</v>
      </c>
      <c r="F9" s="414">
        <f>F116</f>
        <v>0</v>
      </c>
      <c r="G9" s="414">
        <f>G116</f>
        <v>-32036440.323466908</v>
      </c>
      <c r="H9" s="414" t="s">
        <v>496</v>
      </c>
      <c r="I9" s="372"/>
    </row>
    <row r="10" spans="1:9" ht="14.5">
      <c r="A10" s="410" t="s">
        <v>495</v>
      </c>
      <c r="B10" s="420" t="s">
        <v>480</v>
      </c>
      <c r="C10" s="414">
        <f>+C177</f>
        <v>-132193873.59121698</v>
      </c>
      <c r="D10" s="419"/>
      <c r="E10" s="414">
        <f>E177</f>
        <v>0</v>
      </c>
      <c r="F10" s="414">
        <f>F177</f>
        <v>-6136756.1779319942</v>
      </c>
      <c r="G10" s="414">
        <f>G177</f>
        <v>-97024112.439999998</v>
      </c>
      <c r="H10" s="414" t="s">
        <v>498</v>
      </c>
      <c r="I10" s="372"/>
    </row>
    <row r="11" spans="1:9" ht="14.5">
      <c r="A11" s="410" t="s">
        <v>497</v>
      </c>
      <c r="B11" s="420" t="s">
        <v>483</v>
      </c>
      <c r="C11" s="414">
        <f>+C81</f>
        <v>171590154</v>
      </c>
      <c r="D11" s="419"/>
      <c r="E11" s="414">
        <f>E81</f>
        <v>0</v>
      </c>
      <c r="F11" s="414">
        <f>F81</f>
        <v>20138019</v>
      </c>
      <c r="G11" s="414">
        <f>G81</f>
        <v>95696411</v>
      </c>
      <c r="H11" s="414" t="s">
        <v>494</v>
      </c>
      <c r="I11" s="372"/>
    </row>
    <row r="12" spans="1:9" ht="14.5">
      <c r="A12" s="410" t="s">
        <v>499</v>
      </c>
      <c r="B12" s="420" t="s">
        <v>500</v>
      </c>
      <c r="C12" s="414">
        <f>SUM(C9:C11)</f>
        <v>-714960544.59121823</v>
      </c>
      <c r="E12" s="414">
        <f>SUM(E9:E11)</f>
        <v>-204512755.51604444</v>
      </c>
      <c r="F12" s="414">
        <f>SUM(F9:F11)</f>
        <v>14001262.822068006</v>
      </c>
      <c r="G12" s="414">
        <f>SUM(G9:G11)</f>
        <v>-33364141.76346691</v>
      </c>
      <c r="H12" s="414" t="s">
        <v>501</v>
      </c>
      <c r="I12" s="372"/>
    </row>
    <row r="13" spans="1:9" ht="3.75" customHeight="1">
      <c r="B13" s="420"/>
      <c r="C13" s="412"/>
      <c r="D13" s="414"/>
      <c r="E13" s="414"/>
      <c r="F13" s="421"/>
      <c r="G13" s="414"/>
      <c r="H13" s="422"/>
      <c r="I13" s="372"/>
    </row>
    <row r="14" spans="1:9">
      <c r="B14" s="423" t="s">
        <v>502</v>
      </c>
      <c r="C14" s="424"/>
      <c r="D14" s="405"/>
      <c r="E14" s="405"/>
      <c r="F14" s="405"/>
      <c r="G14" s="405"/>
    </row>
    <row r="15" spans="1:9">
      <c r="B15" s="423" t="s">
        <v>503</v>
      </c>
      <c r="C15" s="424"/>
      <c r="D15" s="405"/>
      <c r="E15" s="405"/>
      <c r="F15" s="405"/>
      <c r="G15" s="405"/>
    </row>
    <row r="16" spans="1:9">
      <c r="B16" s="417" t="s">
        <v>58</v>
      </c>
      <c r="C16" s="418" t="s">
        <v>59</v>
      </c>
      <c r="D16" s="418" t="s">
        <v>60</v>
      </c>
      <c r="E16" s="418" t="s">
        <v>61</v>
      </c>
      <c r="F16" s="418" t="s">
        <v>62</v>
      </c>
      <c r="G16" s="418" t="s">
        <v>63</v>
      </c>
      <c r="H16" s="417" t="s">
        <v>64</v>
      </c>
    </row>
    <row r="17" spans="1:8" ht="14.5">
      <c r="A17" s="410" t="s">
        <v>8</v>
      </c>
      <c r="B17" s="425" t="s">
        <v>1386</v>
      </c>
      <c r="C17" s="419" t="s">
        <v>13</v>
      </c>
      <c r="D17" s="419" t="s">
        <v>504</v>
      </c>
      <c r="E17" s="419" t="s">
        <v>492</v>
      </c>
      <c r="F17" s="419"/>
      <c r="G17" s="419"/>
    </row>
    <row r="18" spans="1:8" ht="14.5">
      <c r="C18" s="419"/>
      <c r="D18" s="419" t="s">
        <v>505</v>
      </c>
      <c r="E18" s="419" t="s">
        <v>17</v>
      </c>
      <c r="F18" s="419" t="s">
        <v>506</v>
      </c>
      <c r="G18" s="419" t="s">
        <v>459</v>
      </c>
    </row>
    <row r="19" spans="1:8" ht="14.5">
      <c r="C19" s="419"/>
      <c r="D19" s="419" t="s">
        <v>467</v>
      </c>
      <c r="E19" s="419" t="s">
        <v>467</v>
      </c>
      <c r="F19" s="419" t="s">
        <v>467</v>
      </c>
      <c r="G19" s="419" t="s">
        <v>467</v>
      </c>
      <c r="H19" s="426" t="s">
        <v>507</v>
      </c>
    </row>
    <row r="20" spans="1:8" ht="5.25" customHeight="1">
      <c r="B20" s="427"/>
      <c r="C20" s="428"/>
      <c r="D20" s="405"/>
      <c r="E20" s="405"/>
      <c r="F20" s="405"/>
      <c r="G20" s="405"/>
    </row>
    <row r="21" spans="1:8" ht="56">
      <c r="A21" s="410">
        <v>1</v>
      </c>
      <c r="B21" s="988" t="s">
        <v>876</v>
      </c>
      <c r="C21" s="484">
        <v>986158</v>
      </c>
      <c r="D21" s="484">
        <v>986158</v>
      </c>
      <c r="E21" s="484">
        <v>0</v>
      </c>
      <c r="F21" s="484">
        <v>0</v>
      </c>
      <c r="G21" s="484">
        <v>0</v>
      </c>
      <c r="H21" s="989" t="s">
        <v>891</v>
      </c>
    </row>
    <row r="22" spans="1:8">
      <c r="A22" s="410" t="s">
        <v>508</v>
      </c>
      <c r="B22" s="988" t="s">
        <v>1576</v>
      </c>
      <c r="C22" s="484">
        <v>1099978</v>
      </c>
      <c r="D22" s="484">
        <v>0</v>
      </c>
      <c r="E22" s="484">
        <v>0</v>
      </c>
      <c r="F22" s="484">
        <v>0</v>
      </c>
      <c r="G22" s="484">
        <v>1099978</v>
      </c>
      <c r="H22" s="989" t="s">
        <v>892</v>
      </c>
    </row>
    <row r="23" spans="1:8" ht="28">
      <c r="A23" s="410" t="s">
        <v>509</v>
      </c>
      <c r="B23" s="988" t="s">
        <v>1760</v>
      </c>
      <c r="C23" s="484">
        <v>30840407</v>
      </c>
      <c r="D23" s="484">
        <v>30840407</v>
      </c>
      <c r="E23" s="484">
        <v>0</v>
      </c>
      <c r="F23" s="484">
        <v>0</v>
      </c>
      <c r="G23" s="484">
        <v>0</v>
      </c>
      <c r="H23" s="989" t="s">
        <v>893</v>
      </c>
    </row>
    <row r="24" spans="1:8">
      <c r="A24" s="410" t="s">
        <v>510</v>
      </c>
      <c r="B24" s="988" t="s">
        <v>1577</v>
      </c>
      <c r="C24" s="484">
        <v>600142</v>
      </c>
      <c r="D24" s="484">
        <v>600142</v>
      </c>
      <c r="E24" s="484">
        <v>0</v>
      </c>
      <c r="F24" s="484">
        <v>0</v>
      </c>
      <c r="G24" s="484">
        <v>0</v>
      </c>
      <c r="H24" s="989" t="s">
        <v>877</v>
      </c>
    </row>
    <row r="25" spans="1:8">
      <c r="A25" s="429" t="s">
        <v>511</v>
      </c>
      <c r="B25" s="988" t="s">
        <v>1578</v>
      </c>
      <c r="C25" s="484">
        <v>861370</v>
      </c>
      <c r="D25" s="484">
        <v>861370</v>
      </c>
      <c r="E25" s="484">
        <v>0</v>
      </c>
      <c r="F25" s="484">
        <v>0</v>
      </c>
      <c r="G25" s="484">
        <v>0</v>
      </c>
      <c r="H25" s="989" t="s">
        <v>877</v>
      </c>
    </row>
    <row r="26" spans="1:8" ht="28">
      <c r="A26" s="429" t="s">
        <v>512</v>
      </c>
      <c r="B26" s="988" t="s">
        <v>1579</v>
      </c>
      <c r="C26" s="484">
        <v>1442139</v>
      </c>
      <c r="D26" s="484">
        <v>1442139</v>
      </c>
      <c r="E26" s="484">
        <v>0</v>
      </c>
      <c r="F26" s="484">
        <v>0</v>
      </c>
      <c r="G26" s="484">
        <v>0</v>
      </c>
      <c r="H26" s="989" t="s">
        <v>894</v>
      </c>
    </row>
    <row r="27" spans="1:8">
      <c r="A27" s="429" t="s">
        <v>513</v>
      </c>
      <c r="B27" s="988" t="s">
        <v>1580</v>
      </c>
      <c r="C27" s="484">
        <v>448761</v>
      </c>
      <c r="D27" s="484">
        <v>448761</v>
      </c>
      <c r="E27" s="484">
        <v>0</v>
      </c>
      <c r="F27" s="484">
        <v>0</v>
      </c>
      <c r="G27" s="484">
        <v>0</v>
      </c>
      <c r="H27" s="989" t="s">
        <v>877</v>
      </c>
    </row>
    <row r="28" spans="1:8">
      <c r="A28" s="429" t="s">
        <v>514</v>
      </c>
      <c r="B28" s="988" t="s">
        <v>1581</v>
      </c>
      <c r="C28" s="484">
        <v>18627</v>
      </c>
      <c r="D28" s="484">
        <v>0</v>
      </c>
      <c r="E28" s="484">
        <v>0</v>
      </c>
      <c r="F28" s="484">
        <v>0</v>
      </c>
      <c r="G28" s="484">
        <v>18627</v>
      </c>
      <c r="H28" s="989" t="s">
        <v>895</v>
      </c>
    </row>
    <row r="29" spans="1:8" ht="28">
      <c r="A29" s="429" t="s">
        <v>515</v>
      </c>
      <c r="B29" s="988" t="s">
        <v>1582</v>
      </c>
      <c r="C29" s="484">
        <v>5765922</v>
      </c>
      <c r="D29" s="484">
        <v>5765922</v>
      </c>
      <c r="E29" s="484">
        <v>0</v>
      </c>
      <c r="F29" s="484">
        <v>0</v>
      </c>
      <c r="G29" s="484">
        <v>0</v>
      </c>
      <c r="H29" s="989" t="s">
        <v>1324</v>
      </c>
    </row>
    <row r="30" spans="1:8">
      <c r="A30" s="429" t="s">
        <v>516</v>
      </c>
      <c r="B30" s="988" t="s">
        <v>1583</v>
      </c>
      <c r="C30" s="484">
        <v>223848</v>
      </c>
      <c r="D30" s="484">
        <v>223848</v>
      </c>
      <c r="E30" s="484">
        <v>0</v>
      </c>
      <c r="F30" s="484">
        <v>0</v>
      </c>
      <c r="G30" s="484">
        <v>0</v>
      </c>
      <c r="H30" s="990" t="s">
        <v>1595</v>
      </c>
    </row>
    <row r="31" spans="1:8" ht="28">
      <c r="A31" s="429" t="s">
        <v>517</v>
      </c>
      <c r="B31" s="988" t="s">
        <v>1584</v>
      </c>
      <c r="C31" s="484">
        <v>13427614</v>
      </c>
      <c r="D31" s="484">
        <v>0</v>
      </c>
      <c r="E31" s="484">
        <v>0</v>
      </c>
      <c r="F31" s="484">
        <v>0</v>
      </c>
      <c r="G31" s="484">
        <v>13427614</v>
      </c>
      <c r="H31" s="990" t="s">
        <v>896</v>
      </c>
    </row>
    <row r="32" spans="1:8">
      <c r="A32" s="429" t="s">
        <v>518</v>
      </c>
      <c r="B32" s="988" t="s">
        <v>1585</v>
      </c>
      <c r="C32" s="484">
        <v>605617</v>
      </c>
      <c r="D32" s="484">
        <v>605617</v>
      </c>
      <c r="E32" s="484">
        <v>0</v>
      </c>
      <c r="F32" s="484">
        <v>0</v>
      </c>
      <c r="G32" s="484">
        <v>0</v>
      </c>
      <c r="H32" s="989" t="s">
        <v>877</v>
      </c>
    </row>
    <row r="33" spans="1:8" ht="28">
      <c r="A33" s="429" t="s">
        <v>519</v>
      </c>
      <c r="B33" s="988" t="s">
        <v>1586</v>
      </c>
      <c r="C33" s="484">
        <v>254230</v>
      </c>
      <c r="D33" s="484">
        <v>0</v>
      </c>
      <c r="E33" s="484">
        <v>0</v>
      </c>
      <c r="F33" s="484">
        <v>254230</v>
      </c>
      <c r="G33" s="484">
        <v>0</v>
      </c>
      <c r="H33" s="989" t="s">
        <v>1780</v>
      </c>
    </row>
    <row r="34" spans="1:8">
      <c r="A34" s="429" t="s">
        <v>520</v>
      </c>
      <c r="B34" s="988" t="s">
        <v>1587</v>
      </c>
      <c r="C34" s="484">
        <v>3157206</v>
      </c>
      <c r="D34" s="484">
        <v>3157206</v>
      </c>
      <c r="E34" s="484">
        <v>0</v>
      </c>
      <c r="F34" s="484">
        <v>0</v>
      </c>
      <c r="G34" s="484">
        <v>0</v>
      </c>
      <c r="H34" s="989" t="s">
        <v>1183</v>
      </c>
    </row>
    <row r="35" spans="1:8" ht="28">
      <c r="A35" s="429" t="s">
        <v>521</v>
      </c>
      <c r="B35" s="988" t="s">
        <v>1588</v>
      </c>
      <c r="C35" s="484">
        <v>19883789</v>
      </c>
      <c r="D35" s="484">
        <v>0</v>
      </c>
      <c r="E35" s="484">
        <v>0</v>
      </c>
      <c r="F35" s="484">
        <v>19883789</v>
      </c>
      <c r="G35" s="484">
        <v>0</v>
      </c>
      <c r="H35" s="989" t="s">
        <v>1182</v>
      </c>
    </row>
    <row r="36" spans="1:8" ht="28">
      <c r="A36" s="429" t="s">
        <v>522</v>
      </c>
      <c r="B36" s="988" t="s">
        <v>1589</v>
      </c>
      <c r="C36" s="484">
        <v>70973363</v>
      </c>
      <c r="D36" s="484">
        <v>0</v>
      </c>
      <c r="E36" s="484">
        <v>0</v>
      </c>
      <c r="F36" s="484">
        <v>0</v>
      </c>
      <c r="G36" s="484">
        <v>70973363</v>
      </c>
      <c r="H36" s="989" t="s">
        <v>898</v>
      </c>
    </row>
    <row r="37" spans="1:8" ht="28">
      <c r="A37" s="429" t="s">
        <v>523</v>
      </c>
      <c r="B37" s="988" t="s">
        <v>1590</v>
      </c>
      <c r="C37" s="484">
        <v>1193842</v>
      </c>
      <c r="D37" s="484">
        <v>1193842</v>
      </c>
      <c r="E37" s="484">
        <v>0</v>
      </c>
      <c r="F37" s="484">
        <v>0</v>
      </c>
      <c r="G37" s="484">
        <v>0</v>
      </c>
      <c r="H37" s="989" t="s">
        <v>1596</v>
      </c>
    </row>
    <row r="38" spans="1:8">
      <c r="A38" s="429" t="s">
        <v>524</v>
      </c>
      <c r="B38" s="988" t="s">
        <v>1591</v>
      </c>
      <c r="C38" s="484">
        <v>1169951</v>
      </c>
      <c r="D38" s="484">
        <v>1169951</v>
      </c>
      <c r="E38" s="484">
        <v>0</v>
      </c>
      <c r="F38" s="484">
        <v>0</v>
      </c>
      <c r="G38" s="484">
        <v>0</v>
      </c>
      <c r="H38" s="990" t="s">
        <v>899</v>
      </c>
    </row>
    <row r="39" spans="1:8">
      <c r="A39" s="429" t="s">
        <v>525</v>
      </c>
      <c r="B39" s="988" t="s">
        <v>1592</v>
      </c>
      <c r="C39" s="484">
        <v>203242</v>
      </c>
      <c r="D39" s="484">
        <v>0</v>
      </c>
      <c r="E39" s="484">
        <v>0</v>
      </c>
      <c r="F39" s="484">
        <v>0</v>
      </c>
      <c r="G39" s="484">
        <v>203242</v>
      </c>
      <c r="H39" s="990" t="s">
        <v>900</v>
      </c>
    </row>
    <row r="40" spans="1:8" ht="28">
      <c r="A40" s="429" t="s">
        <v>526</v>
      </c>
      <c r="B40" s="988" t="s">
        <v>1781</v>
      </c>
      <c r="C40" s="484">
        <v>938510</v>
      </c>
      <c r="D40" s="484">
        <v>938510</v>
      </c>
      <c r="E40" s="484">
        <v>0</v>
      </c>
      <c r="F40" s="484">
        <v>0</v>
      </c>
      <c r="G40" s="484">
        <v>0</v>
      </c>
      <c r="H40" s="990" t="s">
        <v>901</v>
      </c>
    </row>
    <row r="41" spans="1:8">
      <c r="A41" s="429" t="s">
        <v>527</v>
      </c>
      <c r="B41" s="988" t="s">
        <v>1593</v>
      </c>
      <c r="C41" s="484">
        <v>7521851</v>
      </c>
      <c r="D41" s="484">
        <v>7521851</v>
      </c>
      <c r="E41" s="484">
        <v>0</v>
      </c>
      <c r="F41" s="484">
        <v>0</v>
      </c>
      <c r="G41" s="484">
        <v>0</v>
      </c>
      <c r="H41" s="990" t="s">
        <v>877</v>
      </c>
    </row>
    <row r="42" spans="1:8" ht="28">
      <c r="A42" s="429" t="s">
        <v>528</v>
      </c>
      <c r="B42" s="988" t="s">
        <v>1594</v>
      </c>
      <c r="C42" s="484">
        <v>9973587</v>
      </c>
      <c r="D42" s="484">
        <v>0</v>
      </c>
      <c r="E42" s="484">
        <v>0</v>
      </c>
      <c r="F42" s="484">
        <v>0</v>
      </c>
      <c r="G42" s="484">
        <v>9973587</v>
      </c>
      <c r="H42" s="990" t="s">
        <v>902</v>
      </c>
    </row>
    <row r="43" spans="1:8">
      <c r="A43" s="429" t="s">
        <v>529</v>
      </c>
      <c r="B43" s="988"/>
      <c r="C43" s="484">
        <v>0</v>
      </c>
      <c r="D43" s="484">
        <v>0</v>
      </c>
      <c r="E43" s="484">
        <v>0</v>
      </c>
      <c r="F43" s="484">
        <v>0</v>
      </c>
      <c r="G43" s="484">
        <v>0</v>
      </c>
      <c r="H43" s="990"/>
    </row>
    <row r="44" spans="1:8">
      <c r="A44" s="429" t="s">
        <v>530</v>
      </c>
      <c r="B44" s="988"/>
      <c r="C44" s="484">
        <v>0</v>
      </c>
      <c r="D44" s="484">
        <v>0</v>
      </c>
      <c r="E44" s="484">
        <v>0</v>
      </c>
      <c r="F44" s="484">
        <v>0</v>
      </c>
      <c r="G44" s="484">
        <v>0</v>
      </c>
      <c r="H44" s="990"/>
    </row>
    <row r="45" spans="1:8">
      <c r="A45" s="429" t="s">
        <v>531</v>
      </c>
      <c r="B45" s="988"/>
      <c r="C45" s="484"/>
      <c r="D45" s="484"/>
      <c r="E45" s="484"/>
      <c r="F45" s="484"/>
      <c r="G45" s="484"/>
      <c r="H45" s="990"/>
    </row>
    <row r="46" spans="1:8">
      <c r="A46" s="429" t="s">
        <v>532</v>
      </c>
      <c r="B46" s="988"/>
      <c r="C46" s="484"/>
      <c r="D46" s="484"/>
      <c r="E46" s="484"/>
      <c r="F46" s="484"/>
      <c r="G46" s="484"/>
      <c r="H46" s="990"/>
    </row>
    <row r="47" spans="1:8">
      <c r="A47" s="429" t="s">
        <v>533</v>
      </c>
      <c r="B47" s="988"/>
      <c r="C47" s="484"/>
      <c r="D47" s="484"/>
      <c r="E47" s="484"/>
      <c r="F47" s="484"/>
      <c r="G47" s="484"/>
      <c r="H47" s="990"/>
    </row>
    <row r="48" spans="1:8">
      <c r="A48" s="429" t="s">
        <v>534</v>
      </c>
      <c r="B48" s="988"/>
      <c r="C48" s="484"/>
      <c r="D48" s="484"/>
      <c r="E48" s="484"/>
      <c r="F48" s="484"/>
      <c r="G48" s="484"/>
      <c r="H48" s="990"/>
    </row>
    <row r="49" spans="1:8">
      <c r="A49" s="429" t="s">
        <v>535</v>
      </c>
      <c r="B49" s="988"/>
      <c r="C49" s="484"/>
      <c r="D49" s="484"/>
      <c r="E49" s="484"/>
      <c r="F49" s="484"/>
      <c r="G49" s="484"/>
      <c r="H49" s="990"/>
    </row>
    <row r="50" spans="1:8">
      <c r="A50" s="429" t="s">
        <v>536</v>
      </c>
      <c r="B50" s="988"/>
      <c r="C50" s="484">
        <v>0</v>
      </c>
      <c r="D50" s="484"/>
      <c r="E50" s="484"/>
      <c r="F50" s="484"/>
      <c r="G50" s="484"/>
      <c r="H50" s="989"/>
    </row>
    <row r="51" spans="1:8">
      <c r="A51" s="429" t="s">
        <v>537</v>
      </c>
      <c r="B51" s="988"/>
      <c r="C51" s="484">
        <v>0</v>
      </c>
      <c r="D51" s="484"/>
      <c r="E51" s="484"/>
      <c r="F51" s="484"/>
      <c r="G51" s="484"/>
      <c r="H51" s="989"/>
    </row>
    <row r="52" spans="1:8">
      <c r="A52" s="429" t="s">
        <v>538</v>
      </c>
      <c r="B52" s="988"/>
      <c r="C52" s="484">
        <v>0</v>
      </c>
      <c r="D52" s="484"/>
      <c r="E52" s="484"/>
      <c r="F52" s="484"/>
      <c r="G52" s="484"/>
      <c r="H52" s="989"/>
    </row>
    <row r="53" spans="1:8">
      <c r="A53" s="429" t="s">
        <v>539</v>
      </c>
      <c r="B53" s="988"/>
      <c r="C53" s="484">
        <v>0</v>
      </c>
      <c r="D53" s="484"/>
      <c r="E53" s="484"/>
      <c r="F53" s="484"/>
      <c r="G53" s="484"/>
      <c r="H53" s="989"/>
    </row>
    <row r="54" spans="1:8">
      <c r="A54" s="429" t="s">
        <v>540</v>
      </c>
      <c r="B54" s="988"/>
      <c r="C54" s="484">
        <v>0</v>
      </c>
      <c r="D54" s="484"/>
      <c r="E54" s="484"/>
      <c r="F54" s="484"/>
      <c r="G54" s="484"/>
      <c r="H54" s="989"/>
    </row>
    <row r="55" spans="1:8">
      <c r="A55" s="429" t="s">
        <v>541</v>
      </c>
      <c r="B55" s="988"/>
      <c r="C55" s="484">
        <v>0</v>
      </c>
      <c r="D55" s="484"/>
      <c r="E55" s="484"/>
      <c r="F55" s="484"/>
      <c r="G55" s="484"/>
      <c r="H55" s="989"/>
    </row>
    <row r="56" spans="1:8">
      <c r="A56" s="429" t="s">
        <v>542</v>
      </c>
      <c r="B56" s="988"/>
      <c r="C56" s="484">
        <v>0</v>
      </c>
      <c r="D56" s="484"/>
      <c r="E56" s="484"/>
      <c r="F56" s="484"/>
      <c r="G56" s="484"/>
      <c r="H56" s="989"/>
    </row>
    <row r="57" spans="1:8">
      <c r="A57" s="429" t="s">
        <v>543</v>
      </c>
      <c r="B57" s="924"/>
      <c r="C57" s="484">
        <v>0</v>
      </c>
      <c r="D57" s="924"/>
      <c r="E57" s="925"/>
      <c r="F57" s="925"/>
      <c r="G57" s="926"/>
      <c r="H57" s="927"/>
    </row>
    <row r="58" spans="1:8">
      <c r="A58" s="429" t="s">
        <v>544</v>
      </c>
      <c r="B58" s="924"/>
      <c r="C58" s="484">
        <v>0</v>
      </c>
      <c r="D58" s="924"/>
      <c r="E58" s="925"/>
      <c r="F58" s="925"/>
      <c r="G58" s="926"/>
      <c r="H58" s="927"/>
    </row>
    <row r="59" spans="1:8">
      <c r="A59" s="429" t="s">
        <v>545</v>
      </c>
      <c r="B59" s="924"/>
      <c r="C59" s="484">
        <v>0</v>
      </c>
      <c r="D59" s="924"/>
      <c r="E59" s="925"/>
      <c r="F59" s="925"/>
      <c r="G59" s="924"/>
      <c r="H59" s="927"/>
    </row>
    <row r="60" spans="1:8">
      <c r="A60" s="429" t="s">
        <v>546</v>
      </c>
      <c r="B60" s="924"/>
      <c r="C60" s="484">
        <v>0</v>
      </c>
      <c r="D60" s="924"/>
      <c r="E60" s="925"/>
      <c r="F60" s="924"/>
      <c r="G60" s="926"/>
      <c r="H60" s="927"/>
    </row>
    <row r="61" spans="1:8">
      <c r="A61" s="429" t="s">
        <v>547</v>
      </c>
      <c r="B61" s="924"/>
      <c r="C61" s="484">
        <v>0</v>
      </c>
      <c r="D61" s="924"/>
      <c r="E61" s="925"/>
      <c r="F61" s="924"/>
      <c r="G61" s="926"/>
      <c r="H61" s="927"/>
    </row>
    <row r="62" spans="1:8" hidden="1">
      <c r="A62" s="429" t="s">
        <v>548</v>
      </c>
      <c r="B62" s="983"/>
      <c r="C62" s="484">
        <v>0</v>
      </c>
      <c r="D62" s="924"/>
      <c r="E62" s="925"/>
      <c r="F62" s="924"/>
      <c r="G62" s="926"/>
      <c r="H62" s="927"/>
    </row>
    <row r="63" spans="1:8" hidden="1">
      <c r="A63" s="429" t="s">
        <v>549</v>
      </c>
      <c r="B63" s="924"/>
      <c r="C63" s="484">
        <v>0</v>
      </c>
      <c r="D63" s="924"/>
      <c r="E63" s="924"/>
      <c r="F63" s="984"/>
      <c r="G63" s="924"/>
      <c r="H63" s="985"/>
    </row>
    <row r="64" spans="1:8" hidden="1">
      <c r="A64" s="429" t="s">
        <v>550</v>
      </c>
      <c r="B64" s="924"/>
      <c r="C64" s="484">
        <v>0</v>
      </c>
      <c r="D64" s="924"/>
      <c r="E64" s="925"/>
      <c r="F64" s="924"/>
      <c r="G64" s="926"/>
      <c r="H64" s="927"/>
    </row>
    <row r="65" spans="1:10" hidden="1">
      <c r="A65" s="429" t="s">
        <v>551</v>
      </c>
      <c r="B65" s="924"/>
      <c r="C65" s="484">
        <v>0</v>
      </c>
      <c r="D65" s="924"/>
      <c r="E65" s="925"/>
      <c r="F65" s="924"/>
      <c r="G65" s="926"/>
      <c r="H65" s="986"/>
    </row>
    <row r="66" spans="1:10" hidden="1">
      <c r="A66" s="429" t="s">
        <v>552</v>
      </c>
      <c r="B66" s="924"/>
      <c r="C66" s="484" t="s">
        <v>59</v>
      </c>
      <c r="D66" s="924"/>
      <c r="E66" s="925"/>
      <c r="F66" s="924"/>
      <c r="G66" s="926"/>
      <c r="H66" s="986"/>
    </row>
    <row r="67" spans="1:10" hidden="1">
      <c r="A67" s="429" t="s">
        <v>553</v>
      </c>
      <c r="B67" s="924"/>
      <c r="C67" s="484" t="s">
        <v>13</v>
      </c>
      <c r="D67" s="924"/>
      <c r="E67" s="924"/>
      <c r="F67" s="924"/>
      <c r="G67" s="924"/>
      <c r="H67" s="928"/>
    </row>
    <row r="68" spans="1:10" hidden="1">
      <c r="A68" s="429" t="s">
        <v>554</v>
      </c>
      <c r="B68" s="924"/>
      <c r="C68" s="484">
        <v>0</v>
      </c>
      <c r="D68" s="924"/>
      <c r="E68" s="924"/>
      <c r="F68" s="924"/>
      <c r="G68" s="924"/>
      <c r="H68" s="986"/>
    </row>
    <row r="69" spans="1:10" hidden="1">
      <c r="A69" s="429" t="s">
        <v>555</v>
      </c>
      <c r="B69" s="924"/>
      <c r="C69" s="484">
        <v>0</v>
      </c>
      <c r="D69" s="924"/>
      <c r="E69" s="924"/>
      <c r="F69" s="924"/>
      <c r="G69" s="924"/>
      <c r="H69" s="928"/>
    </row>
    <row r="70" spans="1:10" hidden="1">
      <c r="A70" s="429" t="s">
        <v>556</v>
      </c>
      <c r="B70" s="924"/>
      <c r="C70" s="484">
        <v>0</v>
      </c>
      <c r="D70" s="924"/>
      <c r="E70" s="924"/>
      <c r="F70" s="925"/>
      <c r="G70" s="924"/>
      <c r="H70" s="928"/>
    </row>
    <row r="71" spans="1:10" hidden="1">
      <c r="A71" s="429" t="s">
        <v>557</v>
      </c>
      <c r="B71" s="924"/>
      <c r="C71" s="484">
        <v>0</v>
      </c>
      <c r="D71" s="924"/>
      <c r="E71" s="924"/>
      <c r="F71" s="924"/>
      <c r="G71" s="924"/>
      <c r="H71" s="927"/>
    </row>
    <row r="72" spans="1:10" hidden="1">
      <c r="A72" s="429" t="s">
        <v>558</v>
      </c>
      <c r="B72" s="924"/>
      <c r="C72" s="484">
        <v>-28920412.527775913</v>
      </c>
      <c r="D72" s="924"/>
      <c r="E72" s="924"/>
      <c r="F72" s="924"/>
      <c r="G72" s="924"/>
      <c r="H72" s="928"/>
    </row>
    <row r="73" spans="1:10" hidden="1">
      <c r="A73" s="429" t="s">
        <v>559</v>
      </c>
      <c r="B73" s="924"/>
      <c r="C73" s="484">
        <v>-487974579.16049004</v>
      </c>
      <c r="D73" s="924"/>
      <c r="E73" s="924"/>
      <c r="F73" s="924"/>
      <c r="G73" s="924"/>
      <c r="H73" s="935"/>
    </row>
    <row r="74" spans="1:10" hidden="1">
      <c r="A74" s="429" t="s">
        <v>560</v>
      </c>
      <c r="B74" s="924"/>
      <c r="C74" s="484">
        <v>-3116027.7956909942</v>
      </c>
      <c r="D74" s="924"/>
      <c r="E74" s="924"/>
      <c r="F74" s="924"/>
      <c r="G74" s="924"/>
      <c r="H74" s="935"/>
    </row>
    <row r="75" spans="1:10" hidden="1">
      <c r="A75" s="429" t="s">
        <v>561</v>
      </c>
      <c r="B75" s="935"/>
      <c r="C75" s="484">
        <v>-234345805.51604444</v>
      </c>
      <c r="D75" s="924"/>
      <c r="E75" s="924"/>
      <c r="F75" s="924"/>
      <c r="G75" s="924"/>
      <c r="H75" s="928"/>
    </row>
    <row r="76" spans="1:10" hidden="1">
      <c r="A76" s="429" t="s">
        <v>562</v>
      </c>
      <c r="B76" s="987"/>
      <c r="C76" s="484">
        <v>-781321201.80345404</v>
      </c>
      <c r="D76" s="924"/>
      <c r="E76" s="924"/>
      <c r="F76" s="924"/>
      <c r="G76" s="924"/>
      <c r="H76" s="928"/>
    </row>
    <row r="77" spans="1:10">
      <c r="A77" s="429" t="s">
        <v>296</v>
      </c>
      <c r="B77" s="933"/>
      <c r="C77" s="484">
        <v>0</v>
      </c>
      <c r="D77" s="924"/>
      <c r="E77" s="924"/>
      <c r="F77" s="924"/>
      <c r="G77" s="924"/>
      <c r="H77" s="928"/>
    </row>
    <row r="78" spans="1:10">
      <c r="A78" s="429">
        <v>2</v>
      </c>
      <c r="B78" s="430" t="s">
        <v>997</v>
      </c>
      <c r="C78" s="431">
        <f>SUM(C21:C44)</f>
        <v>171590154</v>
      </c>
      <c r="D78" s="431">
        <f t="shared" ref="D78:G78" si="0">SUM(D21:D44)</f>
        <v>55755724</v>
      </c>
      <c r="E78" s="431">
        <f t="shared" si="0"/>
        <v>0</v>
      </c>
      <c r="F78" s="431">
        <f t="shared" si="0"/>
        <v>20138019</v>
      </c>
      <c r="G78" s="431">
        <f t="shared" si="0"/>
        <v>95696411</v>
      </c>
      <c r="H78" s="432"/>
      <c r="J78" s="433"/>
    </row>
    <row r="79" spans="1:10">
      <c r="A79" s="429">
        <v>3</v>
      </c>
      <c r="B79" s="430" t="s">
        <v>563</v>
      </c>
      <c r="C79" s="484">
        <v>0</v>
      </c>
      <c r="D79" s="484">
        <v>0</v>
      </c>
      <c r="E79" s="484">
        <v>0</v>
      </c>
      <c r="F79" s="484">
        <v>0</v>
      </c>
      <c r="G79" s="484">
        <v>0</v>
      </c>
      <c r="H79" s="928"/>
    </row>
    <row r="80" spans="1:10">
      <c r="A80" s="429">
        <v>4</v>
      </c>
      <c r="B80" s="430" t="s">
        <v>564</v>
      </c>
      <c r="C80" s="924"/>
      <c r="D80" s="924"/>
      <c r="E80" s="924"/>
      <c r="F80" s="924"/>
      <c r="G80" s="924"/>
      <c r="H80" s="928"/>
    </row>
    <row r="81" spans="1:8">
      <c r="A81" s="410">
        <v>5</v>
      </c>
      <c r="B81" s="430" t="s">
        <v>13</v>
      </c>
      <c r="C81" s="431">
        <f>+C78-C79-C80</f>
        <v>171590154</v>
      </c>
      <c r="D81" s="431">
        <f>+D78-D79-D80</f>
        <v>55755724</v>
      </c>
      <c r="E81" s="431">
        <f>+E78-E79-E80</f>
        <v>0</v>
      </c>
      <c r="F81" s="431">
        <f>+F78-F79-F80</f>
        <v>20138019</v>
      </c>
      <c r="G81" s="431">
        <f>+G78-G79-G80</f>
        <v>95696411</v>
      </c>
      <c r="H81" s="432"/>
    </row>
    <row r="82" spans="1:8" ht="6" customHeight="1">
      <c r="B82" s="434"/>
      <c r="C82" s="435"/>
      <c r="D82" s="414"/>
      <c r="E82" s="414"/>
      <c r="F82" s="414"/>
      <c r="G82" s="436"/>
      <c r="H82" s="437"/>
    </row>
    <row r="83" spans="1:8">
      <c r="A83" s="429">
        <v>6</v>
      </c>
      <c r="B83" s="438" t="s">
        <v>565</v>
      </c>
      <c r="C83" s="439"/>
      <c r="D83" s="440"/>
      <c r="E83" s="440"/>
      <c r="F83" s="440"/>
      <c r="G83" s="441"/>
      <c r="H83" s="442"/>
    </row>
    <row r="84" spans="1:8">
      <c r="A84" s="429">
        <v>7</v>
      </c>
      <c r="B84" s="443" t="s">
        <v>566</v>
      </c>
      <c r="C84" s="414"/>
      <c r="D84" s="414"/>
      <c r="E84" s="414"/>
      <c r="F84" s="414"/>
      <c r="G84" s="414"/>
      <c r="H84" s="444"/>
    </row>
    <row r="85" spans="1:8">
      <c r="A85" s="429">
        <v>8</v>
      </c>
      <c r="B85" s="443" t="s">
        <v>567</v>
      </c>
      <c r="C85" s="445"/>
      <c r="D85" s="414"/>
      <c r="E85" s="414"/>
      <c r="F85" s="414"/>
      <c r="G85" s="436"/>
      <c r="H85" s="446"/>
    </row>
    <row r="86" spans="1:8">
      <c r="A86" s="429">
        <v>9</v>
      </c>
      <c r="B86" s="443" t="s">
        <v>568</v>
      </c>
      <c r="C86" s="445"/>
      <c r="D86" s="414"/>
      <c r="E86" s="414"/>
      <c r="F86" s="414"/>
      <c r="G86" s="436"/>
      <c r="H86" s="446"/>
    </row>
    <row r="87" spans="1:8">
      <c r="A87" s="429">
        <v>10</v>
      </c>
      <c r="B87" s="443" t="s">
        <v>569</v>
      </c>
      <c r="C87" s="445"/>
      <c r="D87" s="414"/>
      <c r="E87" s="414"/>
      <c r="F87" s="414"/>
      <c r="G87" s="436"/>
      <c r="H87" s="446"/>
    </row>
    <row r="88" spans="1:8">
      <c r="A88" s="429">
        <v>11</v>
      </c>
      <c r="B88" s="447" t="s">
        <v>570</v>
      </c>
      <c r="C88" s="414"/>
      <c r="D88" s="414"/>
      <c r="E88" s="414"/>
      <c r="F88" s="414"/>
      <c r="G88" s="414"/>
      <c r="H88" s="444"/>
    </row>
    <row r="89" spans="1:8">
      <c r="A89" s="429">
        <v>12</v>
      </c>
      <c r="B89" s="448" t="s">
        <v>571</v>
      </c>
      <c r="C89" s="414"/>
      <c r="D89" s="414"/>
      <c r="E89" s="414"/>
      <c r="F89" s="414"/>
      <c r="G89" s="414"/>
      <c r="H89" s="444"/>
    </row>
    <row r="90" spans="1:8" ht="3.75" customHeight="1">
      <c r="B90" s="449"/>
      <c r="C90" s="450"/>
      <c r="D90" s="451"/>
      <c r="E90" s="451"/>
      <c r="F90" s="451"/>
      <c r="G90" s="452"/>
      <c r="H90" s="453"/>
    </row>
    <row r="91" spans="1:8">
      <c r="B91" s="1134" t="str">
        <f>'4A - ADIT Summary'!$G$65</f>
        <v>PECO Energy Company</v>
      </c>
      <c r="C91" s="1135"/>
      <c r="D91" s="1135"/>
      <c r="E91" s="1135"/>
      <c r="F91" s="1135"/>
      <c r="G91" s="1135"/>
      <c r="H91" s="1135"/>
    </row>
    <row r="92" spans="1:8" ht="15.5">
      <c r="B92" s="412" t="s">
        <v>490</v>
      </c>
      <c r="C92" s="412"/>
      <c r="D92" s="412"/>
      <c r="E92" s="412"/>
      <c r="F92" s="412"/>
      <c r="G92" s="412"/>
      <c r="H92" s="371"/>
    </row>
    <row r="93" spans="1:8">
      <c r="B93" s="454"/>
      <c r="C93" s="455"/>
      <c r="D93" s="456"/>
      <c r="E93" s="456"/>
      <c r="F93" s="456"/>
      <c r="G93" s="456"/>
      <c r="H93" s="416"/>
    </row>
    <row r="94" spans="1:8">
      <c r="B94" s="457"/>
      <c r="C94" s="455"/>
      <c r="D94" s="456"/>
      <c r="E94" s="456"/>
      <c r="F94" s="456"/>
      <c r="G94" s="456"/>
      <c r="H94" s="416" t="s">
        <v>490</v>
      </c>
    </row>
    <row r="95" spans="1:8">
      <c r="B95" s="457"/>
      <c r="C95" s="455"/>
      <c r="D95" s="456"/>
      <c r="E95" s="456"/>
      <c r="F95" s="456"/>
      <c r="G95" s="456"/>
      <c r="H95" s="416" t="s">
        <v>572</v>
      </c>
    </row>
    <row r="96" spans="1:8">
      <c r="B96" s="457"/>
      <c r="C96" s="455"/>
      <c r="D96" s="456"/>
      <c r="E96" s="456"/>
      <c r="F96" s="456"/>
      <c r="G96" s="456"/>
      <c r="H96" s="458"/>
    </row>
    <row r="97" spans="1:8" ht="14.5">
      <c r="B97" s="412"/>
      <c r="C97" s="414"/>
      <c r="D97" s="414"/>
      <c r="E97" s="414"/>
      <c r="F97" s="414"/>
      <c r="G97" s="414"/>
      <c r="H97" s="420"/>
    </row>
    <row r="98" spans="1:8" ht="14.5">
      <c r="B98" s="412"/>
      <c r="C98" s="414"/>
      <c r="D98" s="414"/>
      <c r="E98" s="414"/>
      <c r="F98" s="414"/>
      <c r="G98" s="414"/>
      <c r="H98" s="420"/>
    </row>
    <row r="99" spans="1:8">
      <c r="B99" s="457" t="s">
        <v>58</v>
      </c>
      <c r="C99" s="418" t="s">
        <v>59</v>
      </c>
      <c r="D99" s="455" t="s">
        <v>60</v>
      </c>
      <c r="E99" s="455" t="s">
        <v>61</v>
      </c>
      <c r="F99" s="455" t="s">
        <v>62</v>
      </c>
      <c r="G99" s="455" t="s">
        <v>63</v>
      </c>
      <c r="H99" s="457" t="s">
        <v>64</v>
      </c>
    </row>
    <row r="100" spans="1:8" ht="14.5">
      <c r="B100" s="420" t="s">
        <v>1387</v>
      </c>
      <c r="C100" s="419" t="s">
        <v>13</v>
      </c>
      <c r="D100" s="419" t="s">
        <v>504</v>
      </c>
      <c r="E100" s="413" t="s">
        <v>492</v>
      </c>
      <c r="F100" s="413"/>
      <c r="G100" s="413"/>
      <c r="H100" s="412"/>
    </row>
    <row r="101" spans="1:8" ht="14.5">
      <c r="B101" s="434"/>
      <c r="C101" s="419"/>
      <c r="D101" s="419" t="s">
        <v>505</v>
      </c>
      <c r="E101" s="413" t="s">
        <v>17</v>
      </c>
      <c r="F101" s="413" t="s">
        <v>506</v>
      </c>
      <c r="G101" s="413" t="s">
        <v>459</v>
      </c>
      <c r="H101" s="412"/>
    </row>
    <row r="102" spans="1:8" ht="14.5">
      <c r="B102" s="459"/>
      <c r="C102" s="460"/>
      <c r="D102" s="419" t="s">
        <v>467</v>
      </c>
      <c r="E102" s="413" t="s">
        <v>467</v>
      </c>
      <c r="F102" s="413" t="s">
        <v>467</v>
      </c>
      <c r="G102" s="413" t="s">
        <v>467</v>
      </c>
      <c r="H102" s="420" t="s">
        <v>507</v>
      </c>
    </row>
    <row r="103" spans="1:8">
      <c r="B103" s="412"/>
      <c r="C103" s="461"/>
      <c r="D103" s="414"/>
      <c r="E103" s="414"/>
      <c r="F103" s="414"/>
      <c r="G103" s="414"/>
      <c r="H103" s="412"/>
    </row>
    <row r="104" spans="1:8">
      <c r="A104" s="410" t="s">
        <v>573</v>
      </c>
      <c r="B104" s="929" t="s">
        <v>1053</v>
      </c>
      <c r="C104" s="930">
        <v>0</v>
      </c>
      <c r="D104" s="930">
        <v>0</v>
      </c>
      <c r="E104" s="930">
        <v>0</v>
      </c>
      <c r="F104" s="930">
        <v>0</v>
      </c>
      <c r="G104" s="930">
        <v>0</v>
      </c>
      <c r="H104" s="931"/>
    </row>
    <row r="105" spans="1:8">
      <c r="A105" s="410" t="s">
        <v>574</v>
      </c>
      <c r="B105" s="929" t="s">
        <v>702</v>
      </c>
      <c r="C105" s="930">
        <v>-28920412.527775913</v>
      </c>
      <c r="D105" s="930">
        <v>0</v>
      </c>
      <c r="E105" s="930">
        <v>0</v>
      </c>
      <c r="F105" s="930">
        <v>0</v>
      </c>
      <c r="G105" s="930">
        <v>-28920412.527775913</v>
      </c>
      <c r="H105" s="995" t="s">
        <v>903</v>
      </c>
    </row>
    <row r="106" spans="1:8">
      <c r="A106" s="410" t="s">
        <v>575</v>
      </c>
      <c r="B106" s="929" t="s">
        <v>778</v>
      </c>
      <c r="C106" s="930">
        <v>-487974579.16049004</v>
      </c>
      <c r="D106" s="930">
        <v>-487974579.16049004</v>
      </c>
      <c r="E106" s="930">
        <v>0</v>
      </c>
      <c r="F106" s="930">
        <v>0</v>
      </c>
      <c r="G106" s="930">
        <v>0</v>
      </c>
      <c r="H106" s="995" t="s">
        <v>904</v>
      </c>
    </row>
    <row r="107" spans="1:8">
      <c r="A107" s="429" t="s">
        <v>576</v>
      </c>
      <c r="B107" s="929" t="s">
        <v>880</v>
      </c>
      <c r="C107" s="930">
        <v>-3116027.7956909942</v>
      </c>
      <c r="D107" s="930">
        <v>0</v>
      </c>
      <c r="E107" s="930">
        <v>0</v>
      </c>
      <c r="F107" s="930">
        <v>0</v>
      </c>
      <c r="G107" s="930">
        <v>-3116027.7956909942</v>
      </c>
      <c r="H107" s="995" t="s">
        <v>903</v>
      </c>
    </row>
    <row r="108" spans="1:8">
      <c r="A108" s="429" t="s">
        <v>577</v>
      </c>
      <c r="B108" s="929" t="s">
        <v>17</v>
      </c>
      <c r="C108" s="930">
        <v>-234345805.51604444</v>
      </c>
      <c r="D108" s="930">
        <v>-29833050</v>
      </c>
      <c r="E108" s="930">
        <v>-204512755.51604444</v>
      </c>
      <c r="F108" s="930">
        <v>0</v>
      </c>
      <c r="G108" s="930">
        <v>0</v>
      </c>
      <c r="H108" s="995" t="s">
        <v>879</v>
      </c>
    </row>
    <row r="109" spans="1:8" ht="28">
      <c r="A109" s="429" t="s">
        <v>578</v>
      </c>
      <c r="B109" s="929" t="s">
        <v>1598</v>
      </c>
      <c r="C109" s="930">
        <v>-781321201.80345404</v>
      </c>
      <c r="D109" s="930">
        <v>-726886914.80345404</v>
      </c>
      <c r="E109" s="930">
        <v>-43253223</v>
      </c>
      <c r="F109" s="930">
        <v>-11181064</v>
      </c>
      <c r="G109" s="930">
        <v>0</v>
      </c>
      <c r="H109" s="995" t="s">
        <v>1626</v>
      </c>
    </row>
    <row r="110" spans="1:8">
      <c r="A110" s="429" t="s">
        <v>579</v>
      </c>
      <c r="B110" s="930"/>
      <c r="C110" s="930">
        <v>0</v>
      </c>
      <c r="D110" s="930">
        <v>0</v>
      </c>
      <c r="E110" s="930">
        <v>0</v>
      </c>
      <c r="F110" s="930">
        <v>0</v>
      </c>
      <c r="G110" s="930">
        <v>0</v>
      </c>
      <c r="H110" s="930"/>
    </row>
    <row r="111" spans="1:8">
      <c r="A111" s="429" t="s">
        <v>580</v>
      </c>
      <c r="B111" s="930"/>
      <c r="C111" s="930">
        <v>0</v>
      </c>
      <c r="D111" s="930">
        <v>0</v>
      </c>
      <c r="E111" s="930">
        <v>0</v>
      </c>
      <c r="F111" s="930">
        <v>0</v>
      </c>
      <c r="G111" s="930">
        <v>0</v>
      </c>
      <c r="H111" s="930"/>
    </row>
    <row r="112" spans="1:8">
      <c r="A112" s="429" t="s">
        <v>296</v>
      </c>
      <c r="B112" s="933"/>
      <c r="C112" s="930">
        <v>0</v>
      </c>
      <c r="D112" s="930">
        <v>0</v>
      </c>
      <c r="E112" s="930">
        <v>0</v>
      </c>
      <c r="F112" s="930">
        <v>0</v>
      </c>
      <c r="G112" s="930">
        <v>0</v>
      </c>
      <c r="H112" s="928"/>
    </row>
    <row r="113" spans="1:8">
      <c r="A113" s="429">
        <v>14</v>
      </c>
      <c r="B113" s="430" t="s">
        <v>999</v>
      </c>
      <c r="C113" s="431">
        <f>SUM(C104:C112)</f>
        <v>-1535678026.8034554</v>
      </c>
      <c r="D113" s="431">
        <f>SUM(D103:D112)</f>
        <v>-1244694543.963944</v>
      </c>
      <c r="E113" s="431">
        <f>SUM(E103:E112)</f>
        <v>-247765978.51604444</v>
      </c>
      <c r="F113" s="431">
        <f>SUM(F103:F112)</f>
        <v>-11181064</v>
      </c>
      <c r="G113" s="431">
        <f>SUM(G103:G112)</f>
        <v>-32036440.323466908</v>
      </c>
      <c r="H113" s="462"/>
    </row>
    <row r="114" spans="1:8">
      <c r="A114" s="429">
        <v>15</v>
      </c>
      <c r="B114" s="430" t="s">
        <v>563</v>
      </c>
      <c r="C114" s="930">
        <v>-781321201.80345404</v>
      </c>
      <c r="D114" s="930">
        <v>-726886914.80345404</v>
      </c>
      <c r="E114" s="930">
        <v>-43253223</v>
      </c>
      <c r="F114" s="930">
        <v>-11181064</v>
      </c>
      <c r="G114" s="930">
        <v>0</v>
      </c>
      <c r="H114" s="928"/>
    </row>
    <row r="115" spans="1:8">
      <c r="A115" s="429">
        <v>16</v>
      </c>
      <c r="B115" s="430" t="s">
        <v>564</v>
      </c>
      <c r="C115" s="924"/>
      <c r="D115" s="924"/>
      <c r="E115" s="934"/>
      <c r="F115" s="924"/>
      <c r="G115" s="924"/>
      <c r="H115" s="928"/>
    </row>
    <row r="116" spans="1:8">
      <c r="A116" s="429">
        <v>17</v>
      </c>
      <c r="B116" s="430" t="s">
        <v>1096</v>
      </c>
      <c r="C116" s="431">
        <f>+C113-C114-C115</f>
        <v>-754356825.00000131</v>
      </c>
      <c r="D116" s="431">
        <f>+D113-D114-D115</f>
        <v>-517807629.16048992</v>
      </c>
      <c r="E116" s="431">
        <f>+E113-E114-E115</f>
        <v>-204512755.51604444</v>
      </c>
      <c r="F116" s="431">
        <f>+F113-F114-F115</f>
        <v>0</v>
      </c>
      <c r="G116" s="431">
        <f>+G113-G114-G115</f>
        <v>-32036440.323466908</v>
      </c>
      <c r="H116" s="462"/>
    </row>
    <row r="117" spans="1:8">
      <c r="B117" s="434"/>
      <c r="C117" s="463"/>
      <c r="D117" s="463"/>
      <c r="E117" s="463"/>
      <c r="F117" s="463"/>
      <c r="G117" s="414"/>
      <c r="H117" s="464"/>
    </row>
    <row r="118" spans="1:8" ht="14.5" thickBot="1">
      <c r="B118" s="434"/>
      <c r="C118" s="435"/>
      <c r="D118" s="414"/>
      <c r="E118" s="414"/>
      <c r="F118" s="414"/>
      <c r="G118" s="436"/>
      <c r="H118" s="980"/>
    </row>
    <row r="119" spans="1:8">
      <c r="A119" s="429">
        <v>18</v>
      </c>
      <c r="B119" s="465" t="s">
        <v>581</v>
      </c>
      <c r="C119" s="466"/>
      <c r="D119" s="467"/>
      <c r="E119" s="467"/>
      <c r="F119" s="467"/>
      <c r="G119" s="468"/>
      <c r="H119" s="469"/>
    </row>
    <row r="120" spans="1:8">
      <c r="A120" s="429">
        <v>19</v>
      </c>
      <c r="B120" s="443" t="s">
        <v>566</v>
      </c>
      <c r="C120" s="470"/>
      <c r="D120" s="456"/>
      <c r="E120" s="456"/>
      <c r="F120" s="456"/>
      <c r="G120" s="456"/>
      <c r="H120" s="471"/>
    </row>
    <row r="121" spans="1:8">
      <c r="A121" s="429">
        <v>20</v>
      </c>
      <c r="B121" s="443" t="s">
        <v>567</v>
      </c>
      <c r="C121" s="445"/>
      <c r="D121" s="414"/>
      <c r="E121" s="414"/>
      <c r="F121" s="414"/>
      <c r="G121" s="436"/>
      <c r="H121" s="472"/>
    </row>
    <row r="122" spans="1:8">
      <c r="A122" s="429">
        <v>21</v>
      </c>
      <c r="B122" s="443" t="s">
        <v>568</v>
      </c>
      <c r="C122" s="445"/>
      <c r="D122" s="414"/>
      <c r="E122" s="414"/>
      <c r="F122" s="414"/>
      <c r="G122" s="436"/>
      <c r="H122" s="472"/>
    </row>
    <row r="123" spans="1:8">
      <c r="A123" s="429">
        <v>22</v>
      </c>
      <c r="B123" s="443" t="s">
        <v>569</v>
      </c>
      <c r="C123" s="445"/>
      <c r="D123" s="414"/>
      <c r="E123" s="414"/>
      <c r="F123" s="414"/>
      <c r="G123" s="436"/>
      <c r="H123" s="472"/>
    </row>
    <row r="124" spans="1:8">
      <c r="A124" s="429">
        <v>23</v>
      </c>
      <c r="B124" s="447" t="s">
        <v>570</v>
      </c>
      <c r="C124" s="473"/>
      <c r="D124" s="474"/>
      <c r="E124" s="474"/>
      <c r="F124" s="474"/>
      <c r="G124" s="474"/>
      <c r="H124" s="475"/>
    </row>
    <row r="125" spans="1:8">
      <c r="A125" s="429">
        <v>24</v>
      </c>
      <c r="B125" s="448" t="s">
        <v>571</v>
      </c>
      <c r="C125" s="474"/>
      <c r="D125" s="474"/>
      <c r="E125" s="474"/>
      <c r="F125" s="474"/>
      <c r="G125" s="474"/>
      <c r="H125" s="475"/>
    </row>
    <row r="126" spans="1:8" ht="14.5" thickBot="1">
      <c r="B126" s="449"/>
      <c r="C126" s="476"/>
      <c r="D126" s="477"/>
      <c r="E126" s="477"/>
      <c r="F126" s="477"/>
      <c r="G126" s="478"/>
      <c r="H126" s="479"/>
    </row>
    <row r="127" spans="1:8">
      <c r="B127" s="480"/>
      <c r="C127" s="445"/>
      <c r="D127" s="414"/>
      <c r="E127" s="414"/>
      <c r="F127" s="414"/>
      <c r="G127" s="436"/>
      <c r="H127" s="980"/>
    </row>
    <row r="128" spans="1:8">
      <c r="B128" s="1134" t="str">
        <f>'4A - ADIT Summary'!$G$65</f>
        <v>PECO Energy Company</v>
      </c>
      <c r="C128" s="1135"/>
      <c r="D128" s="1135"/>
      <c r="E128" s="1135"/>
      <c r="F128" s="1135"/>
      <c r="G128" s="1135"/>
      <c r="H128" s="1135"/>
    </row>
    <row r="129" spans="1:8" ht="15.5">
      <c r="B129" s="412" t="s">
        <v>490</v>
      </c>
      <c r="C129" s="412"/>
      <c r="D129" s="412"/>
      <c r="E129" s="412"/>
      <c r="F129" s="412"/>
      <c r="G129" s="412"/>
      <c r="H129" s="371"/>
    </row>
    <row r="130" spans="1:8">
      <c r="B130" s="412"/>
      <c r="C130" s="412"/>
      <c r="D130" s="412"/>
      <c r="E130" s="412"/>
      <c r="F130" s="412"/>
      <c r="G130" s="412"/>
      <c r="H130" s="416"/>
    </row>
    <row r="131" spans="1:8">
      <c r="B131" s="412"/>
      <c r="C131" s="412"/>
      <c r="D131" s="412"/>
      <c r="E131" s="412"/>
      <c r="F131" s="412"/>
      <c r="G131" s="412"/>
      <c r="H131" s="416" t="s">
        <v>490</v>
      </c>
    </row>
    <row r="132" spans="1:8">
      <c r="B132" s="434"/>
      <c r="C132" s="435"/>
      <c r="D132" s="414"/>
      <c r="E132" s="414"/>
      <c r="F132" s="414"/>
      <c r="G132" s="436"/>
      <c r="H132" s="416" t="s">
        <v>582</v>
      </c>
    </row>
    <row r="133" spans="1:8">
      <c r="B133" s="457" t="s">
        <v>58</v>
      </c>
      <c r="C133" s="418" t="s">
        <v>59</v>
      </c>
      <c r="D133" s="455" t="s">
        <v>60</v>
      </c>
      <c r="E133" s="455" t="s">
        <v>61</v>
      </c>
      <c r="F133" s="455" t="s">
        <v>62</v>
      </c>
      <c r="G133" s="455" t="s">
        <v>63</v>
      </c>
      <c r="H133" s="457" t="s">
        <v>64</v>
      </c>
    </row>
    <row r="134" spans="1:8" ht="14.5">
      <c r="B134" s="420" t="s">
        <v>1388</v>
      </c>
      <c r="C134" s="419" t="s">
        <v>13</v>
      </c>
      <c r="D134" s="419" t="s">
        <v>504</v>
      </c>
      <c r="E134" s="413" t="s">
        <v>492</v>
      </c>
      <c r="F134" s="413"/>
      <c r="G134" s="413"/>
      <c r="H134" s="412"/>
    </row>
    <row r="135" spans="1:8" ht="14.5">
      <c r="B135" s="412"/>
      <c r="C135" s="419"/>
      <c r="D135" s="419" t="s">
        <v>505</v>
      </c>
      <c r="E135" s="413" t="s">
        <v>17</v>
      </c>
      <c r="F135" s="413" t="s">
        <v>506</v>
      </c>
      <c r="G135" s="413" t="s">
        <v>459</v>
      </c>
      <c r="H135" s="412"/>
    </row>
    <row r="136" spans="1:8" ht="14.5">
      <c r="B136" s="459"/>
      <c r="C136" s="460"/>
      <c r="D136" s="419" t="s">
        <v>467</v>
      </c>
      <c r="E136" s="413" t="s">
        <v>467</v>
      </c>
      <c r="F136" s="413" t="s">
        <v>467</v>
      </c>
      <c r="G136" s="413" t="s">
        <v>467</v>
      </c>
      <c r="H136" s="420" t="s">
        <v>507</v>
      </c>
    </row>
    <row r="137" spans="1:8">
      <c r="B137" s="459"/>
      <c r="C137" s="460"/>
      <c r="D137" s="414"/>
      <c r="E137" s="414"/>
      <c r="F137" s="414"/>
      <c r="G137" s="414"/>
      <c r="H137" s="412"/>
    </row>
    <row r="138" spans="1:8">
      <c r="B138" s="459"/>
      <c r="C138" s="460"/>
      <c r="D138" s="414"/>
      <c r="E138" s="414"/>
      <c r="F138" s="414"/>
      <c r="G138" s="414"/>
      <c r="H138" s="412"/>
    </row>
    <row r="139" spans="1:8">
      <c r="A139" s="410">
        <v>25</v>
      </c>
      <c r="B139" s="992" t="s">
        <v>1599</v>
      </c>
      <c r="C139" s="924">
        <v>-1474420.96</v>
      </c>
      <c r="D139" s="924">
        <v>-1474420.96</v>
      </c>
      <c r="E139" s="924">
        <v>0</v>
      </c>
      <c r="F139" s="924">
        <v>0</v>
      </c>
      <c r="G139" s="924">
        <v>0</v>
      </c>
      <c r="H139" s="995" t="s">
        <v>899</v>
      </c>
    </row>
    <row r="140" spans="1:8">
      <c r="A140" s="410" t="s">
        <v>583</v>
      </c>
      <c r="B140" s="992" t="s">
        <v>1600</v>
      </c>
      <c r="C140" s="924">
        <v>-10955218.359999999</v>
      </c>
      <c r="D140" s="924">
        <v>-10955218.359999999</v>
      </c>
      <c r="E140" s="924">
        <v>0</v>
      </c>
      <c r="F140" s="924">
        <v>0</v>
      </c>
      <c r="G140" s="924">
        <v>0</v>
      </c>
      <c r="H140" s="995" t="s">
        <v>899</v>
      </c>
    </row>
    <row r="141" spans="1:8">
      <c r="A141" s="410" t="s">
        <v>584</v>
      </c>
      <c r="B141" s="992" t="s">
        <v>1601</v>
      </c>
      <c r="C141" s="924">
        <v>-343735.38</v>
      </c>
      <c r="D141" s="924">
        <v>-343735.38</v>
      </c>
      <c r="E141" s="924">
        <v>0</v>
      </c>
      <c r="F141" s="924">
        <v>0</v>
      </c>
      <c r="G141" s="924">
        <v>0</v>
      </c>
      <c r="H141" s="995" t="s">
        <v>899</v>
      </c>
    </row>
    <row r="142" spans="1:8">
      <c r="A142" s="410" t="s">
        <v>585</v>
      </c>
      <c r="B142" s="992" t="s">
        <v>1602</v>
      </c>
      <c r="C142" s="924">
        <v>-146618.46</v>
      </c>
      <c r="D142" s="924">
        <v>-146618.46</v>
      </c>
      <c r="E142" s="924">
        <v>0</v>
      </c>
      <c r="F142" s="924">
        <v>0</v>
      </c>
      <c r="G142" s="924">
        <v>0</v>
      </c>
      <c r="H142" s="995" t="s">
        <v>899</v>
      </c>
    </row>
    <row r="143" spans="1:8">
      <c r="A143" s="429" t="s">
        <v>586</v>
      </c>
      <c r="B143" s="992" t="s">
        <v>1603</v>
      </c>
      <c r="C143" s="924">
        <v>-60560.730809999994</v>
      </c>
      <c r="D143" s="924">
        <v>-60560.730809999994</v>
      </c>
      <c r="E143" s="924">
        <v>0</v>
      </c>
      <c r="F143" s="924">
        <v>0</v>
      </c>
      <c r="G143" s="924">
        <v>0</v>
      </c>
      <c r="H143" s="995" t="s">
        <v>899</v>
      </c>
    </row>
    <row r="144" spans="1:8">
      <c r="A144" s="429" t="s">
        <v>587</v>
      </c>
      <c r="B144" s="992" t="s">
        <v>1604</v>
      </c>
      <c r="C144" s="924">
        <v>-192498</v>
      </c>
      <c r="D144" s="924">
        <v>-192498</v>
      </c>
      <c r="E144" s="924">
        <v>0</v>
      </c>
      <c r="F144" s="924">
        <v>0</v>
      </c>
      <c r="G144" s="924">
        <v>0</v>
      </c>
      <c r="H144" s="995" t="s">
        <v>899</v>
      </c>
    </row>
    <row r="145" spans="1:8">
      <c r="A145" s="429" t="s">
        <v>588</v>
      </c>
      <c r="B145" s="992" t="s">
        <v>1605</v>
      </c>
      <c r="C145" s="924">
        <v>-4938073</v>
      </c>
      <c r="D145" s="924">
        <v>-4938073</v>
      </c>
      <c r="E145" s="924">
        <v>0</v>
      </c>
      <c r="F145" s="924">
        <v>0</v>
      </c>
      <c r="G145" s="924">
        <v>0</v>
      </c>
      <c r="H145" s="995" t="s">
        <v>899</v>
      </c>
    </row>
    <row r="146" spans="1:8">
      <c r="A146" s="429" t="s">
        <v>589</v>
      </c>
      <c r="B146" s="992" t="s">
        <v>1606</v>
      </c>
      <c r="C146" s="924">
        <v>-1015422.099972</v>
      </c>
      <c r="D146" s="924">
        <v>-1015422.099972</v>
      </c>
      <c r="E146" s="924">
        <v>0</v>
      </c>
      <c r="F146" s="924">
        <v>0</v>
      </c>
      <c r="G146" s="924">
        <v>0</v>
      </c>
      <c r="H146" s="995" t="s">
        <v>899</v>
      </c>
    </row>
    <row r="147" spans="1:8">
      <c r="A147" s="429" t="s">
        <v>590</v>
      </c>
      <c r="B147" s="992" t="s">
        <v>1607</v>
      </c>
      <c r="C147" s="924">
        <v>-3171417</v>
      </c>
      <c r="D147" s="924">
        <v>-3171417</v>
      </c>
      <c r="E147" s="924">
        <v>0</v>
      </c>
      <c r="F147" s="924">
        <v>0</v>
      </c>
      <c r="G147" s="924">
        <v>0</v>
      </c>
      <c r="H147" s="995" t="s">
        <v>899</v>
      </c>
    </row>
    <row r="148" spans="1:8">
      <c r="A148" s="429" t="s">
        <v>591</v>
      </c>
      <c r="B148" s="992" t="s">
        <v>1608</v>
      </c>
      <c r="C148" s="924">
        <v>-6177151</v>
      </c>
      <c r="D148" s="924">
        <v>-6177151</v>
      </c>
      <c r="E148" s="924">
        <v>0</v>
      </c>
      <c r="F148" s="924">
        <v>0</v>
      </c>
      <c r="G148" s="924">
        <v>0</v>
      </c>
      <c r="H148" s="995" t="s">
        <v>899</v>
      </c>
    </row>
    <row r="149" spans="1:8">
      <c r="A149" s="429" t="s">
        <v>592</v>
      </c>
      <c r="B149" s="992" t="s">
        <v>1609</v>
      </c>
      <c r="C149" s="924">
        <v>-557889.98250299995</v>
      </c>
      <c r="D149" s="924">
        <v>-557889.98250299995</v>
      </c>
      <c r="E149" s="924">
        <v>0</v>
      </c>
      <c r="F149" s="924">
        <v>0</v>
      </c>
      <c r="G149" s="924">
        <v>0</v>
      </c>
      <c r="H149" s="995" t="s">
        <v>877</v>
      </c>
    </row>
    <row r="150" spans="1:8">
      <c r="A150" s="429" t="s">
        <v>593</v>
      </c>
      <c r="B150" s="992" t="s">
        <v>1610</v>
      </c>
      <c r="C150" s="924">
        <v>-303070.42000000004</v>
      </c>
      <c r="D150" s="924">
        <v>0</v>
      </c>
      <c r="E150" s="924">
        <v>0</v>
      </c>
      <c r="F150" s="924">
        <v>-303070.42000000004</v>
      </c>
      <c r="G150" s="924">
        <v>0</v>
      </c>
      <c r="H150" s="995" t="s">
        <v>905</v>
      </c>
    </row>
    <row r="151" spans="1:8">
      <c r="A151" s="429" t="s">
        <v>594</v>
      </c>
      <c r="B151" s="992" t="s">
        <v>1611</v>
      </c>
      <c r="C151" s="924">
        <v>-472915.64</v>
      </c>
      <c r="D151" s="924">
        <v>0</v>
      </c>
      <c r="E151" s="924">
        <v>0</v>
      </c>
      <c r="F151" s="924">
        <v>0</v>
      </c>
      <c r="G151" s="924">
        <v>-472915.64</v>
      </c>
      <c r="H151" s="995" t="s">
        <v>907</v>
      </c>
    </row>
    <row r="152" spans="1:8" ht="28">
      <c r="A152" s="429" t="s">
        <v>595</v>
      </c>
      <c r="B152" s="992" t="s">
        <v>909</v>
      </c>
      <c r="C152" s="924">
        <v>-67402.95793199999</v>
      </c>
      <c r="D152" s="924">
        <v>0</v>
      </c>
      <c r="E152" s="924">
        <v>0</v>
      </c>
      <c r="F152" s="924">
        <v>-67402.95793199999</v>
      </c>
      <c r="G152" s="924">
        <v>0</v>
      </c>
      <c r="H152" s="995" t="s">
        <v>1615</v>
      </c>
    </row>
    <row r="153" spans="1:8" ht="28">
      <c r="A153" s="429" t="s">
        <v>596</v>
      </c>
      <c r="B153" s="992" t="s">
        <v>882</v>
      </c>
      <c r="C153" s="924">
        <v>-96551196.799999997</v>
      </c>
      <c r="D153" s="924">
        <v>0</v>
      </c>
      <c r="E153" s="924">
        <v>0</v>
      </c>
      <c r="F153" s="924">
        <v>0</v>
      </c>
      <c r="G153" s="924">
        <v>-96551196.799999997</v>
      </c>
      <c r="H153" s="995" t="s">
        <v>897</v>
      </c>
    </row>
    <row r="154" spans="1:8">
      <c r="A154" s="429" t="s">
        <v>597</v>
      </c>
      <c r="B154" s="992" t="s">
        <v>1612</v>
      </c>
      <c r="C154" s="924">
        <v>-3651206</v>
      </c>
      <c r="D154" s="924">
        <v>0</v>
      </c>
      <c r="E154" s="924">
        <v>0</v>
      </c>
      <c r="F154" s="924">
        <v>-3651206</v>
      </c>
      <c r="G154" s="924">
        <v>0</v>
      </c>
      <c r="H154" s="995" t="s">
        <v>1616</v>
      </c>
    </row>
    <row r="155" spans="1:8" ht="28">
      <c r="A155" s="429" t="s">
        <v>598</v>
      </c>
      <c r="B155" s="992" t="s">
        <v>1613</v>
      </c>
      <c r="C155" s="924">
        <v>-2115076.7999999998</v>
      </c>
      <c r="D155" s="924">
        <v>0</v>
      </c>
      <c r="E155" s="924">
        <v>0</v>
      </c>
      <c r="F155" s="924">
        <v>-2115076.7999999998</v>
      </c>
      <c r="G155" s="924">
        <v>0</v>
      </c>
      <c r="H155" s="995" t="s">
        <v>1617</v>
      </c>
    </row>
    <row r="156" spans="1:8" ht="28">
      <c r="A156" s="429" t="s">
        <v>599</v>
      </c>
      <c r="B156" s="992" t="s">
        <v>1614</v>
      </c>
      <c r="C156" s="924">
        <v>-150669278.90086919</v>
      </c>
      <c r="D156" s="924">
        <v>0</v>
      </c>
      <c r="E156" s="924">
        <v>0</v>
      </c>
      <c r="F156" s="924">
        <v>-150669278.90086919</v>
      </c>
      <c r="G156" s="924">
        <v>0</v>
      </c>
      <c r="H156" s="995" t="s">
        <v>1626</v>
      </c>
    </row>
    <row r="157" spans="1:8">
      <c r="A157" s="429" t="s">
        <v>600</v>
      </c>
      <c r="B157" s="992"/>
      <c r="C157" s="924">
        <v>0</v>
      </c>
      <c r="D157" s="924">
        <v>0</v>
      </c>
      <c r="E157" s="924">
        <v>0</v>
      </c>
      <c r="F157" s="924">
        <v>0</v>
      </c>
      <c r="G157" s="924">
        <v>0</v>
      </c>
      <c r="H157" s="991"/>
    </row>
    <row r="158" spans="1:8">
      <c r="A158" s="429" t="s">
        <v>601</v>
      </c>
      <c r="B158" s="992"/>
      <c r="C158" s="924"/>
      <c r="D158" s="924"/>
      <c r="E158" s="924"/>
      <c r="F158" s="924"/>
      <c r="G158" s="924"/>
      <c r="H158" s="991"/>
    </row>
    <row r="159" spans="1:8">
      <c r="A159" s="429" t="s">
        <v>602</v>
      </c>
      <c r="B159" s="992"/>
      <c r="C159" s="924"/>
      <c r="D159" s="924"/>
      <c r="E159" s="924"/>
      <c r="F159" s="924"/>
      <c r="G159" s="924"/>
      <c r="H159" s="991"/>
    </row>
    <row r="160" spans="1:8">
      <c r="A160" s="429" t="s">
        <v>603</v>
      </c>
      <c r="B160" s="992"/>
      <c r="C160" s="924"/>
      <c r="D160" s="924"/>
      <c r="E160" s="924"/>
      <c r="F160" s="924"/>
      <c r="G160" s="924"/>
      <c r="H160" s="991"/>
    </row>
    <row r="161" spans="1:10">
      <c r="A161" s="429" t="s">
        <v>604</v>
      </c>
      <c r="B161" s="992"/>
      <c r="C161" s="924"/>
      <c r="D161" s="924"/>
      <c r="E161" s="924"/>
      <c r="F161" s="924"/>
      <c r="G161" s="924"/>
      <c r="H161" s="991"/>
    </row>
    <row r="162" spans="1:10">
      <c r="A162" s="429" t="s">
        <v>605</v>
      </c>
      <c r="B162" s="992"/>
      <c r="C162" s="924"/>
      <c r="D162" s="924"/>
      <c r="E162" s="924"/>
      <c r="F162" s="924"/>
      <c r="G162" s="924"/>
      <c r="H162" s="991"/>
    </row>
    <row r="163" spans="1:10">
      <c r="A163" s="429" t="s">
        <v>606</v>
      </c>
      <c r="B163" s="992"/>
      <c r="C163" s="924"/>
      <c r="D163" s="924"/>
      <c r="E163" s="924"/>
      <c r="F163" s="924"/>
      <c r="G163" s="924"/>
      <c r="H163" s="991"/>
    </row>
    <row r="164" spans="1:10">
      <c r="A164" s="429" t="s">
        <v>607</v>
      </c>
      <c r="B164" s="992"/>
      <c r="C164" s="924"/>
      <c r="D164" s="924"/>
      <c r="E164" s="924"/>
      <c r="F164" s="924"/>
      <c r="G164" s="924"/>
      <c r="H164" s="991"/>
    </row>
    <row r="165" spans="1:10">
      <c r="A165" s="429" t="s">
        <v>608</v>
      </c>
      <c r="B165" s="992"/>
      <c r="C165" s="924"/>
      <c r="D165" s="924"/>
      <c r="E165" s="924"/>
      <c r="F165" s="924"/>
      <c r="G165" s="924"/>
      <c r="H165" s="993"/>
    </row>
    <row r="166" spans="1:10">
      <c r="A166" s="429" t="s">
        <v>609</v>
      </c>
      <c r="B166" s="992"/>
      <c r="C166" s="924"/>
      <c r="D166" s="924"/>
      <c r="E166" s="924"/>
      <c r="F166" s="924"/>
      <c r="G166" s="924"/>
      <c r="H166" s="991"/>
    </row>
    <row r="167" spans="1:10">
      <c r="A167" s="429" t="s">
        <v>610</v>
      </c>
      <c r="B167" s="992"/>
      <c r="C167" s="924"/>
      <c r="D167" s="924"/>
      <c r="E167" s="924"/>
      <c r="F167" s="924"/>
      <c r="G167" s="924"/>
      <c r="H167" s="994"/>
    </row>
    <row r="168" spans="1:10">
      <c r="A168" s="429" t="s">
        <v>611</v>
      </c>
      <c r="B168" s="935"/>
      <c r="C168" s="924"/>
      <c r="D168" s="924"/>
      <c r="E168" s="924"/>
      <c r="F168" s="924"/>
      <c r="G168" s="924"/>
      <c r="H168" s="936"/>
    </row>
    <row r="169" spans="1:10">
      <c r="A169" s="429" t="s">
        <v>612</v>
      </c>
      <c r="B169" s="935"/>
      <c r="C169" s="924"/>
      <c r="D169" s="924"/>
      <c r="E169" s="924"/>
      <c r="F169" s="924"/>
      <c r="G169" s="924"/>
      <c r="H169" s="935"/>
    </row>
    <row r="170" spans="1:10">
      <c r="A170" s="429" t="s">
        <v>613</v>
      </c>
      <c r="B170" s="937"/>
      <c r="C170" s="924"/>
      <c r="D170" s="924"/>
      <c r="E170" s="924"/>
      <c r="F170" s="924"/>
      <c r="G170" s="924"/>
      <c r="H170" s="937"/>
    </row>
    <row r="171" spans="1:10">
      <c r="A171" s="410" t="s">
        <v>614</v>
      </c>
      <c r="B171" s="933"/>
      <c r="C171" s="924"/>
      <c r="D171" s="924"/>
      <c r="E171" s="924"/>
      <c r="F171" s="924"/>
      <c r="G171" s="924"/>
      <c r="H171" s="938"/>
    </row>
    <row r="172" spans="1:10">
      <c r="A172" s="410" t="s">
        <v>615</v>
      </c>
      <c r="B172" s="939"/>
      <c r="C172" s="924"/>
      <c r="D172" s="924"/>
      <c r="E172" s="924"/>
      <c r="F172" s="924"/>
      <c r="G172" s="924"/>
      <c r="H172" s="937"/>
    </row>
    <row r="173" spans="1:10">
      <c r="A173" s="429" t="s">
        <v>615</v>
      </c>
      <c r="B173" s="933"/>
      <c r="C173" s="924"/>
      <c r="D173" s="924"/>
      <c r="E173" s="924"/>
      <c r="F173" s="924"/>
      <c r="G173" s="924"/>
      <c r="H173" s="933"/>
    </row>
    <row r="174" spans="1:10">
      <c r="A174" s="410">
        <v>26</v>
      </c>
      <c r="B174" s="430" t="s">
        <v>1001</v>
      </c>
      <c r="C174" s="481">
        <f>SUM(C139:C173)</f>
        <v>-282863152.49208617</v>
      </c>
      <c r="D174" s="481">
        <f>SUM(D139:D173)</f>
        <v>-29033004.973285001</v>
      </c>
      <c r="E174" s="481">
        <f>SUM(E136:E173)</f>
        <v>0</v>
      </c>
      <c r="F174" s="481">
        <f>SUM(F136:F173)</f>
        <v>-156806035.07880118</v>
      </c>
      <c r="G174" s="481">
        <f>SUM(G136:G173)</f>
        <v>-97024112.439999998</v>
      </c>
      <c r="H174" s="482"/>
      <c r="J174" s="433"/>
    </row>
    <row r="175" spans="1:10">
      <c r="A175" s="410">
        <v>27</v>
      </c>
      <c r="B175" s="430" t="s">
        <v>563</v>
      </c>
      <c r="C175" s="934">
        <v>-150669278.90086919</v>
      </c>
      <c r="D175" s="934">
        <v>0</v>
      </c>
      <c r="E175" s="934">
        <v>0</v>
      </c>
      <c r="F175" s="934">
        <v>-150669278.90086919</v>
      </c>
      <c r="G175" s="934">
        <v>0</v>
      </c>
      <c r="H175" s="933"/>
    </row>
    <row r="176" spans="1:10">
      <c r="A176" s="410">
        <v>28</v>
      </c>
      <c r="B176" s="430" t="s">
        <v>564</v>
      </c>
      <c r="C176" s="924"/>
      <c r="D176" s="940"/>
      <c r="E176" s="940"/>
      <c r="F176" s="940"/>
      <c r="G176" s="940"/>
      <c r="H176" s="933"/>
    </row>
    <row r="177" spans="1:8">
      <c r="A177" s="429">
        <v>29</v>
      </c>
      <c r="B177" s="430" t="s">
        <v>13</v>
      </c>
      <c r="C177" s="481">
        <f>C174-C175-C176</f>
        <v>-132193873.59121698</v>
      </c>
      <c r="D177" s="481">
        <f>+D174-D175-D176</f>
        <v>-29033004.973285001</v>
      </c>
      <c r="E177" s="481">
        <f>+E174-E175-E176</f>
        <v>0</v>
      </c>
      <c r="F177" s="481">
        <f>+F174-F175-F176</f>
        <v>-6136756.1779319942</v>
      </c>
      <c r="G177" s="481">
        <f>+G174-G175-G176</f>
        <v>-97024112.439999998</v>
      </c>
      <c r="H177" s="482"/>
    </row>
    <row r="178" spans="1:8" ht="14.5" thickBot="1">
      <c r="A178" s="429"/>
      <c r="B178" s="434"/>
      <c r="C178" s="483"/>
      <c r="D178" s="483"/>
      <c r="E178" s="483"/>
      <c r="F178" s="483"/>
      <c r="G178" s="483"/>
      <c r="H178" s="459"/>
    </row>
    <row r="179" spans="1:8">
      <c r="A179" s="429">
        <v>30</v>
      </c>
      <c r="B179" s="465" t="s">
        <v>616</v>
      </c>
    </row>
    <row r="180" spans="1:8">
      <c r="A180" s="429">
        <v>31</v>
      </c>
      <c r="B180" s="443" t="s">
        <v>566</v>
      </c>
    </row>
    <row r="181" spans="1:8">
      <c r="A181" s="429">
        <v>32</v>
      </c>
      <c r="B181" s="443" t="s">
        <v>567</v>
      </c>
    </row>
    <row r="182" spans="1:8">
      <c r="A182" s="429">
        <v>33</v>
      </c>
      <c r="B182" s="443" t="s">
        <v>568</v>
      </c>
    </row>
    <row r="183" spans="1:8">
      <c r="A183" s="429">
        <v>34</v>
      </c>
      <c r="B183" s="443" t="s">
        <v>569</v>
      </c>
    </row>
    <row r="184" spans="1:8">
      <c r="A184" s="429">
        <v>35</v>
      </c>
      <c r="B184" s="447" t="s">
        <v>570</v>
      </c>
    </row>
    <row r="185" spans="1:8">
      <c r="A185" s="429">
        <v>36</v>
      </c>
      <c r="B185" s="448" t="s">
        <v>571</v>
      </c>
    </row>
    <row r="186" spans="1:8">
      <c r="B186" s="480"/>
    </row>
    <row r="187" spans="1:8">
      <c r="B187" s="412"/>
    </row>
    <row r="188" spans="1:8">
      <c r="B188" s="412"/>
    </row>
  </sheetData>
  <mergeCells count="4">
    <mergeCell ref="B1:H1"/>
    <mergeCell ref="B91:H91"/>
    <mergeCell ref="B128:H128"/>
    <mergeCell ref="B2:H2"/>
  </mergeCells>
  <pageMargins left="0.7" right="0.7" top="0.75" bottom="0.75" header="0.3" footer="0.3"/>
  <pageSetup scale="42" fitToHeight="0" orientation="landscape" r:id="rId1"/>
  <rowBreaks count="2" manualBreakCount="2">
    <brk id="90" max="7" man="1"/>
    <brk id="126" max="7" man="1"/>
  </rowBreaks>
  <ignoredErrors>
    <ignoredError sqref="C169:G174 C113:G1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80"/>
  <sheetViews>
    <sheetView view="pageBreakPreview" topLeftCell="A123" zoomScale="70" zoomScaleNormal="80" zoomScaleSheetLayoutView="70" workbookViewId="0">
      <selection activeCell="B43" sqref="B43"/>
    </sheetView>
  </sheetViews>
  <sheetFormatPr defaultColWidth="8.84375" defaultRowHeight="14"/>
  <cols>
    <col min="1" max="1" width="4.84375" style="410" customWidth="1"/>
    <col min="2" max="2" width="51.3046875" style="370" customWidth="1"/>
    <col min="3" max="7" width="17.3046875" style="370" customWidth="1"/>
    <col min="8" max="8" width="103.84375" style="493" customWidth="1"/>
    <col min="9" max="9" width="8.84375" style="369"/>
    <col min="10" max="10" width="8.84375" style="369" customWidth="1"/>
    <col min="11" max="16384" width="8.84375" style="369"/>
  </cols>
  <sheetData>
    <row r="1" spans="1:9">
      <c r="B1" s="1132" t="s">
        <v>1004</v>
      </c>
      <c r="C1" s="1133"/>
      <c r="D1" s="1133"/>
      <c r="E1" s="1133"/>
      <c r="F1" s="1133"/>
      <c r="G1" s="1133"/>
      <c r="H1" s="1133"/>
      <c r="I1" s="372"/>
    </row>
    <row r="2" spans="1:9">
      <c r="B2" s="1134" t="str">
        <f>'4A - ADIT Summary'!$G$65</f>
        <v>PECO Energy Company</v>
      </c>
      <c r="C2" s="1135"/>
      <c r="D2" s="1135"/>
      <c r="E2" s="1135"/>
      <c r="F2" s="1135"/>
      <c r="G2" s="1135"/>
      <c r="H2" s="1135"/>
      <c r="I2" s="372"/>
    </row>
    <row r="3" spans="1:9">
      <c r="B3" s="412" t="s">
        <v>617</v>
      </c>
      <c r="C3" s="412"/>
      <c r="D3" s="412"/>
      <c r="E3" s="412"/>
      <c r="F3" s="412"/>
      <c r="G3" s="412"/>
      <c r="H3" s="486"/>
      <c r="I3" s="372"/>
    </row>
    <row r="4" spans="1:9">
      <c r="B4" s="457" t="s">
        <v>58</v>
      </c>
      <c r="C4" s="455" t="s">
        <v>59</v>
      </c>
      <c r="D4" s="455" t="s">
        <v>60</v>
      </c>
      <c r="E4" s="455" t="s">
        <v>61</v>
      </c>
      <c r="F4" s="455" t="s">
        <v>62</v>
      </c>
      <c r="G4" s="455" t="s">
        <v>63</v>
      </c>
      <c r="H4" s="486" t="s">
        <v>617</v>
      </c>
      <c r="I4" s="372"/>
    </row>
    <row r="5" spans="1:9" ht="14.5">
      <c r="B5" s="412"/>
      <c r="C5" s="412"/>
      <c r="D5" s="419" t="s">
        <v>504</v>
      </c>
      <c r="E5" s="413" t="s">
        <v>492</v>
      </c>
      <c r="F5" s="414"/>
      <c r="G5" s="413"/>
      <c r="H5" s="486" t="s">
        <v>491</v>
      </c>
      <c r="I5" s="372"/>
    </row>
    <row r="6" spans="1:9" ht="14.5">
      <c r="B6" s="412"/>
      <c r="C6" s="412"/>
      <c r="D6" s="419" t="s">
        <v>505</v>
      </c>
      <c r="E6" s="413" t="s">
        <v>17</v>
      </c>
      <c r="F6" s="413" t="s">
        <v>506</v>
      </c>
      <c r="G6" s="413" t="s">
        <v>459</v>
      </c>
      <c r="H6" s="487"/>
      <c r="I6" s="372"/>
    </row>
    <row r="7" spans="1:9" ht="14.5">
      <c r="B7" s="412"/>
      <c r="C7" s="384" t="s">
        <v>13</v>
      </c>
      <c r="D7" s="419" t="s">
        <v>467</v>
      </c>
      <c r="E7" s="413" t="s">
        <v>467</v>
      </c>
      <c r="F7" s="413" t="s">
        <v>467</v>
      </c>
      <c r="G7" s="413" t="s">
        <v>467</v>
      </c>
      <c r="H7" s="487"/>
      <c r="I7" s="372"/>
    </row>
    <row r="8" spans="1:9">
      <c r="B8" s="412"/>
      <c r="C8" s="412"/>
      <c r="D8" s="412"/>
      <c r="E8" s="414"/>
      <c r="F8" s="414"/>
      <c r="G8" s="414"/>
      <c r="H8" s="486"/>
      <c r="I8" s="372"/>
    </row>
    <row r="9" spans="1:9" ht="14.5">
      <c r="A9" s="410" t="s">
        <v>493</v>
      </c>
      <c r="B9" s="420" t="s">
        <v>474</v>
      </c>
      <c r="C9" s="488">
        <f>+C111</f>
        <v>-785416583</v>
      </c>
      <c r="D9" s="412"/>
      <c r="E9" s="488">
        <f>E111</f>
        <v>-212180461</v>
      </c>
      <c r="F9" s="488">
        <f>F111</f>
        <v>0</v>
      </c>
      <c r="G9" s="488">
        <f>G111</f>
        <v>-32167980</v>
      </c>
      <c r="H9" s="474" t="s">
        <v>496</v>
      </c>
      <c r="I9" s="372"/>
    </row>
    <row r="10" spans="1:9" ht="14.5">
      <c r="A10" s="410" t="s">
        <v>495</v>
      </c>
      <c r="B10" s="420" t="s">
        <v>480</v>
      </c>
      <c r="C10" s="488">
        <f>+C171</f>
        <v>-134328547.04799998</v>
      </c>
      <c r="D10" s="412"/>
      <c r="E10" s="488">
        <f>E171</f>
        <v>0</v>
      </c>
      <c r="F10" s="488">
        <f>F171</f>
        <v>-5358813.8344045579</v>
      </c>
      <c r="G10" s="488">
        <f>G171</f>
        <v>-98523872.829999998</v>
      </c>
      <c r="H10" s="474" t="s">
        <v>498</v>
      </c>
      <c r="I10" s="372"/>
    </row>
    <row r="11" spans="1:9" ht="14.5">
      <c r="A11" s="410" t="s">
        <v>497</v>
      </c>
      <c r="B11" s="420" t="s">
        <v>483</v>
      </c>
      <c r="C11" s="488">
        <f>+C76</f>
        <v>161654667.40118957</v>
      </c>
      <c r="D11" s="412"/>
      <c r="E11" s="488">
        <f>E76</f>
        <v>0</v>
      </c>
      <c r="F11" s="488">
        <f>F76</f>
        <v>14517640.679659545</v>
      </c>
      <c r="G11" s="488">
        <f>G76</f>
        <v>83480859.700000003</v>
      </c>
      <c r="H11" s="474" t="s">
        <v>494</v>
      </c>
      <c r="I11" s="372"/>
    </row>
    <row r="12" spans="1:9" ht="14.5">
      <c r="A12" s="410" t="s">
        <v>499</v>
      </c>
      <c r="B12" s="420" t="s">
        <v>500</v>
      </c>
      <c r="C12" s="488">
        <f>SUM(C9:C11)</f>
        <v>-758090462.64681041</v>
      </c>
      <c r="D12" s="412"/>
      <c r="E12" s="488">
        <f>SUM(E9:E11)</f>
        <v>-212180461</v>
      </c>
      <c r="F12" s="488">
        <f>SUM(F9:F11)</f>
        <v>9158826.8452549875</v>
      </c>
      <c r="G12" s="488">
        <f>SUM(G9:G11)</f>
        <v>-47210993.129999995</v>
      </c>
      <c r="H12" s="474" t="s">
        <v>501</v>
      </c>
      <c r="I12" s="372"/>
    </row>
    <row r="13" spans="1:9" ht="14.5">
      <c r="B13" s="420"/>
      <c r="C13" s="488"/>
      <c r="D13" s="488"/>
      <c r="E13" s="489"/>
      <c r="F13" s="489"/>
      <c r="G13" s="489"/>
      <c r="H13" s="490"/>
      <c r="I13" s="372"/>
    </row>
    <row r="14" spans="1:9">
      <c r="B14" s="412"/>
      <c r="C14" s="488"/>
      <c r="D14" s="488"/>
      <c r="E14" s="488"/>
      <c r="F14" s="488"/>
      <c r="G14" s="488"/>
      <c r="H14" s="490"/>
      <c r="I14" s="372"/>
    </row>
    <row r="15" spans="1:9" ht="14.5">
      <c r="B15" s="420"/>
      <c r="C15" s="488"/>
      <c r="D15" s="488"/>
      <c r="E15" s="488"/>
      <c r="F15" s="488"/>
      <c r="G15" s="488"/>
      <c r="H15" s="491"/>
      <c r="I15" s="372"/>
    </row>
    <row r="16" spans="1:9">
      <c r="B16" s="412"/>
      <c r="C16" s="414"/>
      <c r="D16" s="414"/>
      <c r="E16" s="414"/>
      <c r="F16" s="414"/>
      <c r="G16" s="414"/>
      <c r="H16" s="487"/>
      <c r="I16" s="372"/>
    </row>
    <row r="17" spans="1:12">
      <c r="A17" s="410" t="s">
        <v>8</v>
      </c>
      <c r="B17" s="411" t="s">
        <v>502</v>
      </c>
      <c r="C17" s="492"/>
      <c r="D17" s="414"/>
      <c r="E17" s="414"/>
      <c r="F17" s="414"/>
      <c r="G17" s="414"/>
      <c r="H17" s="487"/>
      <c r="I17" s="372"/>
    </row>
    <row r="18" spans="1:12">
      <c r="B18" s="423" t="s">
        <v>503</v>
      </c>
      <c r="C18" s="424"/>
      <c r="D18" s="405"/>
      <c r="E18" s="405"/>
      <c r="F18" s="405"/>
      <c r="G18" s="405"/>
    </row>
    <row r="19" spans="1:12">
      <c r="B19" s="417" t="s">
        <v>58</v>
      </c>
      <c r="C19" s="418" t="s">
        <v>59</v>
      </c>
      <c r="D19" s="418" t="s">
        <v>60</v>
      </c>
      <c r="E19" s="418" t="s">
        <v>61</v>
      </c>
      <c r="F19" s="418" t="s">
        <v>62</v>
      </c>
      <c r="G19" s="418" t="s">
        <v>63</v>
      </c>
      <c r="H19" s="494" t="s">
        <v>64</v>
      </c>
    </row>
    <row r="20" spans="1:12" ht="14.5">
      <c r="B20" s="425" t="s">
        <v>1386</v>
      </c>
      <c r="C20" s="419" t="s">
        <v>13</v>
      </c>
      <c r="D20" s="419" t="s">
        <v>504</v>
      </c>
      <c r="E20" s="419" t="s">
        <v>492</v>
      </c>
      <c r="F20" s="419"/>
      <c r="G20" s="419"/>
    </row>
    <row r="21" spans="1:12" ht="14.5">
      <c r="A21" s="410">
        <v>1</v>
      </c>
      <c r="C21" s="419"/>
      <c r="D21" s="419" t="s">
        <v>505</v>
      </c>
      <c r="E21" s="419" t="s">
        <v>17</v>
      </c>
      <c r="F21" s="419" t="s">
        <v>506</v>
      </c>
      <c r="G21" s="419" t="s">
        <v>459</v>
      </c>
    </row>
    <row r="22" spans="1:12" ht="14.5">
      <c r="A22" s="410" t="s">
        <v>508</v>
      </c>
      <c r="C22" s="419"/>
      <c r="D22" s="419" t="s">
        <v>467</v>
      </c>
      <c r="E22" s="419" t="s">
        <v>467</v>
      </c>
      <c r="F22" s="419" t="s">
        <v>467</v>
      </c>
      <c r="G22" s="419" t="s">
        <v>467</v>
      </c>
      <c r="H22" s="495" t="s">
        <v>507</v>
      </c>
    </row>
    <row r="23" spans="1:12">
      <c r="A23" s="410" t="s">
        <v>509</v>
      </c>
      <c r="B23" s="427"/>
      <c r="C23" s="428"/>
      <c r="D23" s="496"/>
      <c r="E23" s="405"/>
      <c r="F23" s="405"/>
      <c r="G23" s="405"/>
    </row>
    <row r="24" spans="1:12" ht="42">
      <c r="A24" s="410" t="s">
        <v>510</v>
      </c>
      <c r="B24" s="988" t="s">
        <v>1575</v>
      </c>
      <c r="C24" s="484">
        <v>824505.52999999991</v>
      </c>
      <c r="D24" s="484">
        <v>824505.52999999991</v>
      </c>
      <c r="E24" s="484">
        <v>0</v>
      </c>
      <c r="F24" s="484">
        <v>0</v>
      </c>
      <c r="G24" s="484">
        <v>0</v>
      </c>
      <c r="H24" s="485" t="s">
        <v>891</v>
      </c>
      <c r="L24" s="497"/>
    </row>
    <row r="25" spans="1:12">
      <c r="A25" s="429" t="s">
        <v>511</v>
      </c>
      <c r="B25" s="988" t="s">
        <v>1576</v>
      </c>
      <c r="C25" s="484">
        <v>1538510.66</v>
      </c>
      <c r="D25" s="484">
        <v>0</v>
      </c>
      <c r="E25" s="484">
        <v>0</v>
      </c>
      <c r="F25" s="484">
        <v>0</v>
      </c>
      <c r="G25" s="484">
        <v>1538510.66</v>
      </c>
      <c r="H25" s="485" t="s">
        <v>892</v>
      </c>
    </row>
    <row r="26" spans="1:12" ht="28">
      <c r="A26" s="429" t="s">
        <v>512</v>
      </c>
      <c r="B26" s="988" t="s">
        <v>1597</v>
      </c>
      <c r="C26" s="484">
        <v>27726029.84</v>
      </c>
      <c r="D26" s="484">
        <v>27726029.84</v>
      </c>
      <c r="E26" s="484">
        <v>0</v>
      </c>
      <c r="F26" s="484">
        <v>0</v>
      </c>
      <c r="G26" s="484">
        <v>0</v>
      </c>
      <c r="H26" s="485" t="s">
        <v>893</v>
      </c>
    </row>
    <row r="27" spans="1:12">
      <c r="A27" s="429" t="s">
        <v>513</v>
      </c>
      <c r="B27" s="988" t="s">
        <v>1577</v>
      </c>
      <c r="C27" s="484">
        <v>106894.20152999999</v>
      </c>
      <c r="D27" s="484">
        <v>106894.20152999999</v>
      </c>
      <c r="E27" s="484">
        <v>0</v>
      </c>
      <c r="F27" s="484">
        <v>0</v>
      </c>
      <c r="G27" s="484">
        <v>0</v>
      </c>
      <c r="H27" s="485" t="s">
        <v>877</v>
      </c>
    </row>
    <row r="28" spans="1:12">
      <c r="A28" s="429" t="s">
        <v>514</v>
      </c>
      <c r="B28" s="988" t="s">
        <v>1578</v>
      </c>
      <c r="C28" s="484">
        <v>502803.03000000009</v>
      </c>
      <c r="D28" s="484">
        <v>502803.03000000009</v>
      </c>
      <c r="E28" s="484">
        <v>0</v>
      </c>
      <c r="F28" s="484">
        <v>0</v>
      </c>
      <c r="G28" s="484">
        <v>0</v>
      </c>
      <c r="H28" s="485" t="s">
        <v>877</v>
      </c>
    </row>
    <row r="29" spans="1:12" ht="28">
      <c r="A29" s="429" t="s">
        <v>515</v>
      </c>
      <c r="B29" s="988" t="s">
        <v>1579</v>
      </c>
      <c r="C29" s="484">
        <v>2025843.1099999999</v>
      </c>
      <c r="D29" s="484">
        <v>2025843.1099999999</v>
      </c>
      <c r="E29" s="484">
        <v>0</v>
      </c>
      <c r="F29" s="484">
        <v>0</v>
      </c>
      <c r="G29" s="484">
        <v>0</v>
      </c>
      <c r="H29" s="485" t="s">
        <v>894</v>
      </c>
    </row>
    <row r="30" spans="1:12">
      <c r="A30" s="429" t="s">
        <v>516</v>
      </c>
      <c r="B30" s="988" t="s">
        <v>1580</v>
      </c>
      <c r="C30" s="484">
        <v>276621.84000000003</v>
      </c>
      <c r="D30" s="484">
        <v>276621.84000000003</v>
      </c>
      <c r="E30" s="484">
        <v>0</v>
      </c>
      <c r="F30" s="484">
        <v>0</v>
      </c>
      <c r="G30" s="484">
        <v>0</v>
      </c>
      <c r="H30" s="485" t="s">
        <v>877</v>
      </c>
    </row>
    <row r="31" spans="1:12">
      <c r="A31" s="429" t="s">
        <v>517</v>
      </c>
      <c r="B31" s="988" t="s">
        <v>1581</v>
      </c>
      <c r="C31" s="484">
        <v>10235693</v>
      </c>
      <c r="D31" s="484">
        <v>10235693</v>
      </c>
      <c r="E31" s="484">
        <v>0</v>
      </c>
      <c r="F31" s="484">
        <v>0</v>
      </c>
      <c r="G31" s="484">
        <v>0</v>
      </c>
      <c r="H31" s="923" t="s">
        <v>895</v>
      </c>
    </row>
    <row r="32" spans="1:12" ht="28">
      <c r="A32" s="429" t="s">
        <v>518</v>
      </c>
      <c r="B32" s="988" t="s">
        <v>1582</v>
      </c>
      <c r="C32" s="484">
        <v>6633234.2000000002</v>
      </c>
      <c r="D32" s="484">
        <v>6633234.2000000002</v>
      </c>
      <c r="E32" s="484">
        <v>0</v>
      </c>
      <c r="F32" s="484">
        <v>0</v>
      </c>
      <c r="G32" s="484">
        <v>0</v>
      </c>
      <c r="H32" s="485" t="s">
        <v>1324</v>
      </c>
    </row>
    <row r="33" spans="1:13">
      <c r="A33" s="429" t="s">
        <v>519</v>
      </c>
      <c r="B33" s="988" t="s">
        <v>1583</v>
      </c>
      <c r="C33" s="484">
        <v>666108.32000000007</v>
      </c>
      <c r="D33" s="484">
        <v>666108.32000000007</v>
      </c>
      <c r="E33" s="484">
        <v>0</v>
      </c>
      <c r="F33" s="484">
        <v>0</v>
      </c>
      <c r="G33" s="484">
        <v>0</v>
      </c>
      <c r="H33" s="485" t="s">
        <v>1595</v>
      </c>
    </row>
    <row r="34" spans="1:13">
      <c r="A34" s="429" t="s">
        <v>520</v>
      </c>
      <c r="B34" s="988" t="s">
        <v>1584</v>
      </c>
      <c r="C34" s="484">
        <v>12248950.09</v>
      </c>
      <c r="D34" s="484">
        <v>0</v>
      </c>
      <c r="E34" s="484">
        <v>0</v>
      </c>
      <c r="F34" s="484">
        <v>0</v>
      </c>
      <c r="G34" s="484">
        <v>12248950.09</v>
      </c>
      <c r="H34" s="485" t="s">
        <v>896</v>
      </c>
    </row>
    <row r="35" spans="1:13">
      <c r="A35" s="429" t="s">
        <v>521</v>
      </c>
      <c r="B35" s="988" t="s">
        <v>1585</v>
      </c>
      <c r="C35" s="484">
        <v>609522.74</v>
      </c>
      <c r="D35" s="484">
        <v>609522.74</v>
      </c>
      <c r="E35" s="484">
        <v>0</v>
      </c>
      <c r="F35" s="484">
        <v>0</v>
      </c>
      <c r="G35" s="484">
        <v>0</v>
      </c>
      <c r="H35" s="923" t="s">
        <v>877</v>
      </c>
    </row>
    <row r="36" spans="1:13" ht="28">
      <c r="A36" s="429" t="s">
        <v>522</v>
      </c>
      <c r="B36" s="988" t="s">
        <v>1586</v>
      </c>
      <c r="C36" s="484">
        <v>259455.74000000002</v>
      </c>
      <c r="D36" s="484">
        <v>259455.74000000002</v>
      </c>
      <c r="E36" s="484">
        <v>0</v>
      </c>
      <c r="F36" s="484">
        <v>0</v>
      </c>
      <c r="G36" s="484">
        <v>0</v>
      </c>
      <c r="H36" s="923" t="s">
        <v>1780</v>
      </c>
    </row>
    <row r="37" spans="1:13">
      <c r="A37" s="429" t="s">
        <v>523</v>
      </c>
      <c r="B37" s="988" t="s">
        <v>1587</v>
      </c>
      <c r="C37" s="484">
        <v>1579543.25</v>
      </c>
      <c r="D37" s="484">
        <v>1579543.25</v>
      </c>
      <c r="E37" s="484">
        <v>0</v>
      </c>
      <c r="F37" s="484">
        <v>0</v>
      </c>
      <c r="G37" s="484">
        <v>0</v>
      </c>
      <c r="H37" s="923" t="s">
        <v>1183</v>
      </c>
    </row>
    <row r="38" spans="1:13">
      <c r="A38" s="429" t="s">
        <v>524</v>
      </c>
      <c r="B38" s="988" t="s">
        <v>1588</v>
      </c>
      <c r="C38" s="484">
        <v>14517640.679659545</v>
      </c>
      <c r="D38" s="484">
        <v>0</v>
      </c>
      <c r="E38" s="484">
        <v>0</v>
      </c>
      <c r="F38" s="484">
        <v>14517640.679659545</v>
      </c>
      <c r="G38" s="484">
        <v>0</v>
      </c>
      <c r="H38" s="923" t="s">
        <v>1182</v>
      </c>
    </row>
    <row r="39" spans="1:13" ht="28">
      <c r="A39" s="429" t="s">
        <v>525</v>
      </c>
      <c r="B39" s="988" t="s">
        <v>1589</v>
      </c>
      <c r="C39" s="484">
        <v>60009623</v>
      </c>
      <c r="D39" s="484">
        <v>0</v>
      </c>
      <c r="E39" s="484">
        <v>0</v>
      </c>
      <c r="F39" s="484">
        <v>0</v>
      </c>
      <c r="G39" s="484">
        <v>60009623</v>
      </c>
      <c r="H39" s="923" t="s">
        <v>898</v>
      </c>
    </row>
    <row r="40" spans="1:13" ht="28">
      <c r="A40" s="429" t="s">
        <v>526</v>
      </c>
      <c r="B40" s="988" t="s">
        <v>1590</v>
      </c>
      <c r="C40" s="484">
        <v>2346114.21</v>
      </c>
      <c r="D40" s="484">
        <v>2346114.21</v>
      </c>
      <c r="E40" s="484">
        <v>0</v>
      </c>
      <c r="F40" s="484">
        <v>0</v>
      </c>
      <c r="G40" s="484">
        <v>0</v>
      </c>
      <c r="H40" s="923" t="s">
        <v>1596</v>
      </c>
    </row>
    <row r="41" spans="1:13">
      <c r="A41" s="429" t="s">
        <v>527</v>
      </c>
      <c r="B41" s="988" t="s">
        <v>1591</v>
      </c>
      <c r="C41" s="484">
        <v>3529756.93</v>
      </c>
      <c r="D41" s="484">
        <v>3529756.93</v>
      </c>
      <c r="E41" s="484">
        <v>0</v>
      </c>
      <c r="F41" s="484">
        <v>0</v>
      </c>
      <c r="G41" s="484">
        <v>0</v>
      </c>
      <c r="H41" s="485" t="s">
        <v>899</v>
      </c>
    </row>
    <row r="42" spans="1:13">
      <c r="A42" s="429" t="s">
        <v>528</v>
      </c>
      <c r="B42" s="988" t="s">
        <v>1592</v>
      </c>
      <c r="C42" s="484">
        <v>127661.59</v>
      </c>
      <c r="D42" s="484">
        <v>0</v>
      </c>
      <c r="E42" s="484">
        <v>0</v>
      </c>
      <c r="F42" s="484">
        <v>0</v>
      </c>
      <c r="G42" s="484">
        <v>127661.59</v>
      </c>
      <c r="H42" s="485" t="s">
        <v>900</v>
      </c>
    </row>
    <row r="43" spans="1:13">
      <c r="A43" s="429" t="s">
        <v>529</v>
      </c>
      <c r="B43" s="988" t="s">
        <v>1781</v>
      </c>
      <c r="C43" s="484">
        <v>2704761.12</v>
      </c>
      <c r="D43" s="484">
        <v>2704761.12</v>
      </c>
      <c r="E43" s="484">
        <v>0</v>
      </c>
      <c r="F43" s="484">
        <v>0</v>
      </c>
      <c r="G43" s="484">
        <v>0</v>
      </c>
      <c r="H43" s="485" t="s">
        <v>901</v>
      </c>
    </row>
    <row r="44" spans="1:13">
      <c r="A44" s="429" t="s">
        <v>530</v>
      </c>
      <c r="B44" s="988" t="s">
        <v>1593</v>
      </c>
      <c r="C44" s="484">
        <v>3629279.9599999995</v>
      </c>
      <c r="D44" s="484">
        <v>3629279.9599999995</v>
      </c>
      <c r="E44" s="484">
        <v>0</v>
      </c>
      <c r="F44" s="484">
        <v>0</v>
      </c>
      <c r="G44" s="484">
        <v>0</v>
      </c>
      <c r="H44" s="485" t="s">
        <v>877</v>
      </c>
    </row>
    <row r="45" spans="1:13" ht="28">
      <c r="A45" s="429" t="s">
        <v>531</v>
      </c>
      <c r="B45" s="988" t="s">
        <v>1594</v>
      </c>
      <c r="C45" s="484">
        <v>9556114.3599999994</v>
      </c>
      <c r="D45" s="484">
        <v>0</v>
      </c>
      <c r="E45" s="484">
        <v>0</v>
      </c>
      <c r="F45" s="484">
        <v>0</v>
      </c>
      <c r="G45" s="484">
        <v>9556114.3599999994</v>
      </c>
      <c r="H45" s="485" t="s">
        <v>902</v>
      </c>
    </row>
    <row r="46" spans="1:13" ht="14.5">
      <c r="A46" s="429" t="s">
        <v>532</v>
      </c>
      <c r="B46" s="941"/>
      <c r="C46" s="484"/>
      <c r="D46" s="484"/>
      <c r="E46" s="484"/>
      <c r="F46" s="484"/>
      <c r="G46" s="484"/>
      <c r="H46" s="923"/>
    </row>
    <row r="47" spans="1:13" ht="14.5">
      <c r="A47" s="429" t="s">
        <v>533</v>
      </c>
      <c r="B47" s="941"/>
      <c r="C47" s="484"/>
      <c r="D47" s="484"/>
      <c r="E47" s="484"/>
      <c r="F47" s="484"/>
      <c r="G47" s="484"/>
      <c r="H47" s="923"/>
    </row>
    <row r="48" spans="1:13" ht="14.5">
      <c r="A48" s="429" t="s">
        <v>534</v>
      </c>
      <c r="B48" s="941"/>
      <c r="C48" s="484"/>
      <c r="D48" s="484"/>
      <c r="E48" s="484"/>
      <c r="F48" s="484"/>
      <c r="G48" s="484"/>
      <c r="H48" s="923"/>
      <c r="M48" s="497"/>
    </row>
    <row r="49" spans="1:8" ht="14.5">
      <c r="A49" s="429" t="s">
        <v>535</v>
      </c>
      <c r="B49" s="941"/>
      <c r="C49" s="484"/>
      <c r="D49" s="484"/>
      <c r="E49" s="484"/>
      <c r="F49" s="484"/>
      <c r="G49" s="484"/>
      <c r="H49" s="923"/>
    </row>
    <row r="50" spans="1:8" ht="14.5">
      <c r="A50" s="429" t="s">
        <v>536</v>
      </c>
      <c r="B50" s="941"/>
      <c r="C50" s="484"/>
      <c r="D50" s="484"/>
      <c r="E50" s="484"/>
      <c r="F50" s="484"/>
      <c r="G50" s="484"/>
      <c r="H50" s="923"/>
    </row>
    <row r="51" spans="1:8" ht="14.5">
      <c r="A51" s="429" t="s">
        <v>537</v>
      </c>
      <c r="B51" s="941"/>
      <c r="C51" s="484"/>
      <c r="D51" s="484"/>
      <c r="E51" s="484"/>
      <c r="F51" s="484"/>
      <c r="G51" s="484"/>
      <c r="H51" s="923"/>
    </row>
    <row r="52" spans="1:8" ht="14.5">
      <c r="A52" s="429" t="s">
        <v>538</v>
      </c>
      <c r="B52" s="941"/>
      <c r="C52" s="484"/>
      <c r="D52" s="484"/>
      <c r="E52" s="484"/>
      <c r="F52" s="484"/>
      <c r="G52" s="484"/>
      <c r="H52" s="923"/>
    </row>
    <row r="53" spans="1:8" ht="14.5">
      <c r="A53" s="429" t="s">
        <v>539</v>
      </c>
      <c r="B53" s="941"/>
      <c r="C53" s="484"/>
      <c r="D53" s="484"/>
      <c r="E53" s="484"/>
      <c r="F53" s="484"/>
      <c r="G53" s="484"/>
      <c r="H53" s="485"/>
    </row>
    <row r="54" spans="1:8" ht="14.5">
      <c r="A54" s="429" t="s">
        <v>540</v>
      </c>
      <c r="B54" s="941"/>
      <c r="C54" s="484"/>
      <c r="D54" s="484"/>
      <c r="E54" s="484"/>
      <c r="F54" s="484"/>
      <c r="G54" s="484"/>
      <c r="H54" s="485"/>
    </row>
    <row r="55" spans="1:8" ht="14.5">
      <c r="A55" s="429" t="s">
        <v>541</v>
      </c>
      <c r="B55" s="941"/>
      <c r="C55" s="484"/>
      <c r="D55" s="484"/>
      <c r="E55" s="484"/>
      <c r="F55" s="484"/>
      <c r="G55" s="484"/>
      <c r="H55" s="485"/>
    </row>
    <row r="56" spans="1:8" ht="14.5">
      <c r="A56" s="429" t="s">
        <v>542</v>
      </c>
      <c r="B56" s="941"/>
      <c r="C56" s="484"/>
      <c r="D56" s="484"/>
      <c r="E56" s="484"/>
      <c r="F56" s="484"/>
      <c r="G56" s="484"/>
      <c r="H56" s="485"/>
    </row>
    <row r="57" spans="1:8" ht="15" customHeight="1">
      <c r="A57" s="429" t="s">
        <v>543</v>
      </c>
      <c r="B57" s="941"/>
      <c r="C57" s="484"/>
      <c r="D57" s="484"/>
      <c r="E57" s="484"/>
      <c r="F57" s="484"/>
      <c r="G57" s="484"/>
      <c r="H57" s="485"/>
    </row>
    <row r="58" spans="1:8" ht="15" customHeight="1">
      <c r="A58" s="429" t="s">
        <v>544</v>
      </c>
      <c r="B58" s="941"/>
      <c r="C58" s="484"/>
      <c r="D58" s="484"/>
      <c r="E58" s="484"/>
      <c r="F58" s="484"/>
      <c r="G58" s="484"/>
      <c r="H58" s="485"/>
    </row>
    <row r="59" spans="1:8" ht="15" customHeight="1">
      <c r="A59" s="429" t="s">
        <v>545</v>
      </c>
      <c r="B59" s="941"/>
      <c r="C59" s="484"/>
      <c r="D59" s="484"/>
      <c r="E59" s="484"/>
      <c r="F59" s="484"/>
      <c r="G59" s="484"/>
      <c r="H59" s="485"/>
    </row>
    <row r="60" spans="1:8" ht="15" customHeight="1">
      <c r="A60" s="429" t="s">
        <v>546</v>
      </c>
      <c r="B60" s="484"/>
      <c r="C60" s="484"/>
      <c r="D60" s="484"/>
      <c r="E60" s="484"/>
      <c r="F60" s="484"/>
      <c r="G60" s="523"/>
      <c r="H60" s="485"/>
    </row>
    <row r="61" spans="1:8" ht="15" customHeight="1">
      <c r="A61" s="429" t="s">
        <v>547</v>
      </c>
      <c r="B61" s="484"/>
      <c r="C61" s="484"/>
      <c r="D61" s="484"/>
      <c r="E61" s="484"/>
      <c r="F61" s="484"/>
      <c r="G61" s="484"/>
      <c r="H61" s="485"/>
    </row>
    <row r="62" spans="1:8" ht="15" hidden="1" customHeight="1">
      <c r="A62" s="429" t="s">
        <v>548</v>
      </c>
      <c r="B62" s="484"/>
      <c r="C62" s="484"/>
      <c r="D62" s="484"/>
      <c r="E62" s="484"/>
      <c r="F62" s="484"/>
      <c r="G62" s="523"/>
      <c r="H62" s="485"/>
    </row>
    <row r="63" spans="1:8" ht="15" hidden="1" customHeight="1">
      <c r="A63" s="429" t="s">
        <v>549</v>
      </c>
      <c r="B63" s="484"/>
      <c r="C63" s="484"/>
      <c r="D63" s="484"/>
      <c r="E63" s="484"/>
      <c r="F63" s="484"/>
      <c r="G63" s="523"/>
      <c r="H63" s="485"/>
    </row>
    <row r="64" spans="1:8" ht="15" hidden="1" customHeight="1">
      <c r="A64" s="429" t="s">
        <v>550</v>
      </c>
      <c r="B64" s="484"/>
      <c r="C64" s="484"/>
      <c r="D64" s="484"/>
      <c r="E64" s="484"/>
      <c r="F64" s="484"/>
      <c r="G64" s="523"/>
      <c r="H64" s="485"/>
    </row>
    <row r="65" spans="1:10" ht="15" hidden="1" customHeight="1">
      <c r="A65" s="429" t="s">
        <v>551</v>
      </c>
      <c r="B65" s="484"/>
      <c r="C65" s="484"/>
      <c r="D65" s="484"/>
      <c r="E65" s="484"/>
      <c r="F65" s="524"/>
      <c r="G65" s="484"/>
      <c r="H65" s="525"/>
    </row>
    <row r="66" spans="1:10" ht="15" hidden="1" customHeight="1">
      <c r="A66" s="429" t="s">
        <v>552</v>
      </c>
      <c r="B66" s="484"/>
      <c r="C66" s="484"/>
      <c r="D66" s="484"/>
      <c r="E66" s="484"/>
      <c r="F66" s="484"/>
      <c r="G66" s="484"/>
      <c r="H66" s="526"/>
    </row>
    <row r="67" spans="1:10" ht="15" hidden="1" customHeight="1">
      <c r="A67" s="429" t="s">
        <v>553</v>
      </c>
      <c r="B67" s="484"/>
      <c r="C67" s="484"/>
      <c r="D67" s="484"/>
      <c r="E67" s="484"/>
      <c r="F67" s="484"/>
      <c r="G67" s="484"/>
      <c r="H67" s="525"/>
    </row>
    <row r="68" spans="1:10" ht="15" hidden="1" customHeight="1">
      <c r="A68" s="429" t="s">
        <v>554</v>
      </c>
      <c r="B68" s="484"/>
      <c r="C68" s="484"/>
      <c r="D68" s="484"/>
      <c r="E68" s="484"/>
      <c r="F68" s="484"/>
      <c r="G68" s="484"/>
      <c r="H68" s="485"/>
    </row>
    <row r="69" spans="1:10" ht="15" hidden="1" customHeight="1">
      <c r="A69" s="429" t="s">
        <v>555</v>
      </c>
      <c r="B69" s="484"/>
      <c r="C69" s="484"/>
      <c r="D69" s="484"/>
      <c r="E69" s="484"/>
      <c r="F69" s="484"/>
      <c r="G69" s="484"/>
      <c r="H69" s="485"/>
    </row>
    <row r="70" spans="1:10" ht="15" hidden="1" customHeight="1">
      <c r="A70" s="429" t="s">
        <v>556</v>
      </c>
      <c r="B70" s="527"/>
      <c r="C70" s="484"/>
      <c r="D70" s="484"/>
      <c r="E70" s="484"/>
      <c r="F70" s="484"/>
      <c r="G70" s="484"/>
      <c r="H70" s="525"/>
    </row>
    <row r="71" spans="1:10" ht="15" hidden="1" customHeight="1">
      <c r="A71" s="429" t="s">
        <v>557</v>
      </c>
      <c r="B71" s="528"/>
      <c r="C71" s="484">
        <v>0</v>
      </c>
      <c r="D71" s="484">
        <v>0</v>
      </c>
      <c r="E71" s="484"/>
      <c r="F71" s="484"/>
      <c r="G71" s="484"/>
      <c r="H71" s="525"/>
    </row>
    <row r="72" spans="1:10">
      <c r="A72" s="429" t="s">
        <v>296</v>
      </c>
      <c r="B72" s="942"/>
      <c r="C72" s="484">
        <v>0</v>
      </c>
      <c r="D72" s="484"/>
      <c r="E72" s="484"/>
      <c r="F72" s="484"/>
      <c r="G72" s="484"/>
      <c r="H72" s="525"/>
    </row>
    <row r="73" spans="1:10">
      <c r="A73" s="429">
        <v>2</v>
      </c>
      <c r="B73" s="498" t="s">
        <v>996</v>
      </c>
      <c r="C73" s="499">
        <f>SUM(C24:C72)</f>
        <v>161654667.40118957</v>
      </c>
      <c r="D73" s="499">
        <f>SUM(D24:D72)</f>
        <v>63656167.02153001</v>
      </c>
      <c r="E73" s="499">
        <f>SUM(E24:E72)</f>
        <v>0</v>
      </c>
      <c r="F73" s="499">
        <f>SUM(F24:F72)</f>
        <v>14517640.679659545</v>
      </c>
      <c r="G73" s="499">
        <f>SUM(G24:G72)</f>
        <v>83480859.700000003</v>
      </c>
      <c r="H73" s="500"/>
      <c r="J73" s="433"/>
    </row>
    <row r="74" spans="1:10">
      <c r="A74" s="429">
        <v>3</v>
      </c>
      <c r="B74" s="498" t="s">
        <v>563</v>
      </c>
      <c r="C74" s="484">
        <v>0</v>
      </c>
      <c r="D74" s="484">
        <v>0</v>
      </c>
      <c r="E74" s="484">
        <v>0</v>
      </c>
      <c r="F74" s="484">
        <v>0</v>
      </c>
      <c r="G74" s="484">
        <v>0</v>
      </c>
      <c r="H74" s="525"/>
    </row>
    <row r="75" spans="1:10">
      <c r="A75" s="429">
        <v>4</v>
      </c>
      <c r="B75" s="498" t="s">
        <v>564</v>
      </c>
      <c r="C75" s="484"/>
      <c r="D75" s="484"/>
      <c r="E75" s="484"/>
      <c r="F75" s="484"/>
      <c r="G75" s="484"/>
      <c r="H75" s="525"/>
    </row>
    <row r="76" spans="1:10">
      <c r="A76" s="410">
        <v>5</v>
      </c>
      <c r="B76" s="498" t="s">
        <v>1115</v>
      </c>
      <c r="C76" s="499">
        <f>+C73-C74-C75</f>
        <v>161654667.40118957</v>
      </c>
      <c r="D76" s="499">
        <f t="shared" ref="D76:G76" si="0">+D73-D74-D75</f>
        <v>63656167.02153001</v>
      </c>
      <c r="E76" s="499">
        <f t="shared" si="0"/>
        <v>0</v>
      </c>
      <c r="F76" s="499">
        <f t="shared" si="0"/>
        <v>14517640.679659545</v>
      </c>
      <c r="G76" s="499">
        <f t="shared" si="0"/>
        <v>83480859.700000003</v>
      </c>
      <c r="H76" s="500"/>
    </row>
    <row r="77" spans="1:10">
      <c r="B77" s="434"/>
      <c r="C77" s="435"/>
      <c r="D77" s="414"/>
      <c r="E77" s="414"/>
      <c r="F77" s="414"/>
      <c r="G77" s="436"/>
      <c r="H77" s="501"/>
    </row>
    <row r="78" spans="1:10">
      <c r="A78" s="429">
        <v>6</v>
      </c>
      <c r="B78" s="438" t="s">
        <v>565</v>
      </c>
      <c r="C78" s="439"/>
      <c r="D78" s="440"/>
      <c r="E78" s="440"/>
      <c r="F78" s="440"/>
      <c r="G78" s="441"/>
      <c r="H78" s="502"/>
    </row>
    <row r="79" spans="1:10">
      <c r="A79" s="429">
        <v>7</v>
      </c>
      <c r="B79" s="443" t="s">
        <v>566</v>
      </c>
      <c r="C79" s="414"/>
      <c r="D79" s="414"/>
      <c r="E79" s="414"/>
      <c r="F79" s="414"/>
      <c r="G79" s="414"/>
      <c r="H79" s="503"/>
    </row>
    <row r="80" spans="1:10">
      <c r="A80" s="429">
        <v>8</v>
      </c>
      <c r="B80" s="443" t="s">
        <v>567</v>
      </c>
      <c r="C80" s="445"/>
      <c r="D80" s="414"/>
      <c r="E80" s="414"/>
      <c r="F80" s="414"/>
      <c r="G80" s="436"/>
      <c r="H80" s="504"/>
    </row>
    <row r="81" spans="1:8">
      <c r="A81" s="429">
        <v>9</v>
      </c>
      <c r="B81" s="443" t="s">
        <v>568</v>
      </c>
      <c r="C81" s="445"/>
      <c r="D81" s="414"/>
      <c r="E81" s="414"/>
      <c r="F81" s="414"/>
      <c r="G81" s="436"/>
      <c r="H81" s="504"/>
    </row>
    <row r="82" spans="1:8">
      <c r="A82" s="429">
        <v>10</v>
      </c>
      <c r="B82" s="443" t="s">
        <v>569</v>
      </c>
      <c r="C82" s="445"/>
      <c r="D82" s="414"/>
      <c r="E82" s="414"/>
      <c r="F82" s="414"/>
      <c r="G82" s="436"/>
      <c r="H82" s="504"/>
    </row>
    <row r="83" spans="1:8">
      <c r="A83" s="429">
        <v>11</v>
      </c>
      <c r="B83" s="447" t="s">
        <v>570</v>
      </c>
      <c r="C83" s="414"/>
      <c r="D83" s="414"/>
      <c r="E83" s="414"/>
      <c r="F83" s="414"/>
      <c r="G83" s="414"/>
      <c r="H83" s="503"/>
    </row>
    <row r="84" spans="1:8">
      <c r="A84" s="429">
        <v>12</v>
      </c>
      <c r="B84" s="448" t="s">
        <v>571</v>
      </c>
      <c r="C84" s="414"/>
      <c r="D84" s="414"/>
      <c r="E84" s="414"/>
      <c r="F84" s="414"/>
      <c r="G84" s="414"/>
      <c r="H84" s="503"/>
    </row>
    <row r="85" spans="1:8">
      <c r="B85" s="449"/>
      <c r="C85" s="450"/>
      <c r="D85" s="451"/>
      <c r="E85" s="451"/>
      <c r="F85" s="451"/>
      <c r="G85" s="452"/>
      <c r="H85" s="505"/>
    </row>
    <row r="86" spans="1:8">
      <c r="B86" s="1134" t="str">
        <f>'4A - ADIT Summary'!$G$65</f>
        <v>PECO Energy Company</v>
      </c>
      <c r="C86" s="1135"/>
      <c r="D86" s="1135"/>
      <c r="E86" s="1135"/>
      <c r="F86" s="1135"/>
      <c r="G86" s="1135"/>
      <c r="H86" s="1135"/>
    </row>
    <row r="87" spans="1:8" ht="15.5">
      <c r="B87" s="412" t="s">
        <v>617</v>
      </c>
      <c r="C87" s="412"/>
      <c r="D87" s="412"/>
      <c r="E87" s="412"/>
      <c r="F87" s="412" t="s">
        <v>2</v>
      </c>
      <c r="G87" s="412"/>
      <c r="H87" s="506"/>
    </row>
    <row r="88" spans="1:8">
      <c r="B88" s="412"/>
      <c r="C88" s="455"/>
      <c r="D88" s="456"/>
      <c r="E88" s="456"/>
      <c r="F88" s="456"/>
      <c r="G88" s="456"/>
      <c r="H88" s="507"/>
    </row>
    <row r="89" spans="1:8">
      <c r="B89" s="457"/>
      <c r="C89" s="455"/>
      <c r="D89" s="456"/>
      <c r="E89" s="456"/>
      <c r="F89" s="456"/>
      <c r="G89" s="456"/>
      <c r="H89" s="486" t="s">
        <v>617</v>
      </c>
    </row>
    <row r="90" spans="1:8">
      <c r="B90" s="457"/>
      <c r="C90" s="455"/>
      <c r="D90" s="456"/>
      <c r="E90" s="456"/>
      <c r="F90" s="456"/>
      <c r="G90" s="456"/>
      <c r="H90" s="486" t="s">
        <v>572</v>
      </c>
    </row>
    <row r="91" spans="1:8">
      <c r="B91" s="457"/>
      <c r="C91" s="455"/>
      <c r="D91" s="456"/>
      <c r="E91" s="456"/>
      <c r="F91" s="456"/>
      <c r="G91" s="456"/>
      <c r="H91" s="487"/>
    </row>
    <row r="92" spans="1:8" ht="14.5">
      <c r="B92" s="412"/>
      <c r="C92" s="414"/>
      <c r="D92" s="414"/>
      <c r="E92" s="414"/>
      <c r="F92" s="414"/>
      <c r="G92" s="414"/>
      <c r="H92" s="508"/>
    </row>
    <row r="93" spans="1:8" ht="14.5">
      <c r="B93" s="412"/>
      <c r="C93" s="414"/>
      <c r="D93" s="414"/>
      <c r="E93" s="414"/>
      <c r="F93" s="414"/>
      <c r="G93" s="414"/>
      <c r="H93" s="508"/>
    </row>
    <row r="94" spans="1:8">
      <c r="B94" s="457" t="s">
        <v>58</v>
      </c>
      <c r="C94" s="418" t="s">
        <v>59</v>
      </c>
      <c r="D94" s="455" t="s">
        <v>60</v>
      </c>
      <c r="E94" s="455" t="s">
        <v>61</v>
      </c>
      <c r="F94" s="455" t="s">
        <v>62</v>
      </c>
      <c r="G94" s="455" t="s">
        <v>63</v>
      </c>
      <c r="H94" s="509" t="s">
        <v>64</v>
      </c>
    </row>
    <row r="95" spans="1:8" ht="14.5">
      <c r="B95" s="420" t="s">
        <v>1387</v>
      </c>
      <c r="C95" s="419" t="s">
        <v>13</v>
      </c>
      <c r="D95" s="419" t="s">
        <v>504</v>
      </c>
      <c r="E95" s="413" t="s">
        <v>492</v>
      </c>
      <c r="F95" s="413"/>
      <c r="G95" s="413"/>
      <c r="H95" s="487"/>
    </row>
    <row r="96" spans="1:8" ht="14.5">
      <c r="B96" s="434"/>
      <c r="C96" s="419"/>
      <c r="D96" s="419" t="s">
        <v>505</v>
      </c>
      <c r="E96" s="413" t="s">
        <v>17</v>
      </c>
      <c r="F96" s="413" t="s">
        <v>506</v>
      </c>
      <c r="G96" s="413" t="s">
        <v>459</v>
      </c>
      <c r="H96" s="487"/>
    </row>
    <row r="97" spans="1:8" ht="14.5">
      <c r="B97" s="459"/>
      <c r="C97" s="460"/>
      <c r="D97" s="419" t="s">
        <v>467</v>
      </c>
      <c r="E97" s="413" t="s">
        <v>467</v>
      </c>
      <c r="F97" s="413" t="s">
        <v>467</v>
      </c>
      <c r="G97" s="413" t="s">
        <v>467</v>
      </c>
      <c r="H97" s="508" t="s">
        <v>507</v>
      </c>
    </row>
    <row r="98" spans="1:8">
      <c r="B98" s="412"/>
      <c r="C98" s="461"/>
      <c r="D98" s="414"/>
      <c r="E98" s="414"/>
      <c r="F98" s="414"/>
      <c r="G98" s="414"/>
      <c r="H98" s="487"/>
    </row>
    <row r="99" spans="1:8">
      <c r="A99" s="410" t="s">
        <v>573</v>
      </c>
      <c r="B99" s="929" t="s">
        <v>1053</v>
      </c>
      <c r="C99" s="930">
        <v>0</v>
      </c>
      <c r="D99" s="930">
        <v>0</v>
      </c>
      <c r="E99" s="930">
        <v>0</v>
      </c>
      <c r="F99" s="930">
        <v>0</v>
      </c>
      <c r="G99" s="930">
        <v>0</v>
      </c>
      <c r="H99" s="995"/>
    </row>
    <row r="100" spans="1:8">
      <c r="A100" s="410" t="s">
        <v>574</v>
      </c>
      <c r="B100" s="929" t="s">
        <v>702</v>
      </c>
      <c r="C100" s="930">
        <v>-29039157.844522741</v>
      </c>
      <c r="D100" s="930">
        <v>0</v>
      </c>
      <c r="E100" s="930">
        <v>0</v>
      </c>
      <c r="F100" s="930">
        <v>0</v>
      </c>
      <c r="G100" s="930">
        <v>-29039157.844522741</v>
      </c>
      <c r="H100" s="995" t="s">
        <v>903</v>
      </c>
    </row>
    <row r="101" spans="1:8">
      <c r="A101" s="410" t="s">
        <v>575</v>
      </c>
      <c r="B101" s="929" t="s">
        <v>778</v>
      </c>
      <c r="C101" s="930">
        <v>-541068142</v>
      </c>
      <c r="D101" s="930">
        <v>-541068142</v>
      </c>
      <c r="E101" s="930">
        <v>0</v>
      </c>
      <c r="F101" s="930">
        <v>0</v>
      </c>
      <c r="G101" s="930">
        <v>0</v>
      </c>
      <c r="H101" s="995" t="s">
        <v>904</v>
      </c>
    </row>
    <row r="102" spans="1:8">
      <c r="A102" s="429" t="s">
        <v>576</v>
      </c>
      <c r="B102" s="929" t="s">
        <v>880</v>
      </c>
      <c r="C102" s="930">
        <v>-3128822.1554772579</v>
      </c>
      <c r="D102" s="930">
        <v>0</v>
      </c>
      <c r="E102" s="930">
        <v>0</v>
      </c>
      <c r="F102" s="930">
        <v>0</v>
      </c>
      <c r="G102" s="930">
        <v>-3128822.1554772579</v>
      </c>
      <c r="H102" s="995" t="s">
        <v>903</v>
      </c>
    </row>
    <row r="103" spans="1:8">
      <c r="A103" s="429" t="s">
        <v>577</v>
      </c>
      <c r="B103" s="929" t="s">
        <v>17</v>
      </c>
      <c r="C103" s="930">
        <v>-212180461</v>
      </c>
      <c r="D103" s="930">
        <v>0</v>
      </c>
      <c r="E103" s="930">
        <v>-212180461</v>
      </c>
      <c r="F103" s="930">
        <v>0</v>
      </c>
      <c r="G103" s="930">
        <v>0</v>
      </c>
      <c r="H103" s="995" t="s">
        <v>879</v>
      </c>
    </row>
    <row r="104" spans="1:8" ht="31.5" customHeight="1">
      <c r="A104" s="429" t="s">
        <v>578</v>
      </c>
      <c r="B104" s="929" t="s">
        <v>1598</v>
      </c>
      <c r="C104" s="930">
        <v>-840147375</v>
      </c>
      <c r="D104" s="930">
        <v>-785703068</v>
      </c>
      <c r="E104" s="930">
        <v>-42336396</v>
      </c>
      <c r="F104" s="930">
        <v>-12107911</v>
      </c>
      <c r="G104" s="930">
        <v>0</v>
      </c>
      <c r="H104" s="995" t="s">
        <v>1626</v>
      </c>
    </row>
    <row r="105" spans="1:8">
      <c r="A105" s="429" t="s">
        <v>579</v>
      </c>
      <c r="B105" s="930"/>
      <c r="C105" s="930">
        <v>0</v>
      </c>
      <c r="D105" s="930">
        <v>0</v>
      </c>
      <c r="E105" s="930">
        <v>0</v>
      </c>
      <c r="F105" s="930">
        <v>0</v>
      </c>
      <c r="G105" s="930">
        <v>0</v>
      </c>
      <c r="H105" s="932"/>
    </row>
    <row r="106" spans="1:8">
      <c r="A106" s="429" t="s">
        <v>580</v>
      </c>
      <c r="B106" s="930"/>
      <c r="C106" s="930">
        <v>0</v>
      </c>
      <c r="D106" s="930">
        <v>0</v>
      </c>
      <c r="E106" s="930">
        <v>0</v>
      </c>
      <c r="F106" s="930">
        <v>0</v>
      </c>
      <c r="G106" s="930">
        <v>0</v>
      </c>
      <c r="H106" s="932"/>
    </row>
    <row r="107" spans="1:8">
      <c r="A107" s="429" t="s">
        <v>296</v>
      </c>
      <c r="B107" s="930"/>
      <c r="C107" s="930">
        <v>0</v>
      </c>
      <c r="D107" s="930">
        <v>0</v>
      </c>
      <c r="E107" s="930">
        <v>0</v>
      </c>
      <c r="F107" s="924"/>
      <c r="G107" s="924"/>
      <c r="H107" s="932"/>
    </row>
    <row r="108" spans="1:8">
      <c r="A108" s="429">
        <v>14</v>
      </c>
      <c r="B108" s="430" t="s">
        <v>998</v>
      </c>
      <c r="C108" s="431">
        <f>SUM(C99:C107)</f>
        <v>-1625563958</v>
      </c>
      <c r="D108" s="431">
        <f>SUM(D99:D107)</f>
        <v>-1326771210</v>
      </c>
      <c r="E108" s="431">
        <f>SUM(E99:E107)</f>
        <v>-254516857</v>
      </c>
      <c r="F108" s="431">
        <f>SUM(F99:F107)</f>
        <v>-12107911</v>
      </c>
      <c r="G108" s="431">
        <f>SUM(G99:G107)</f>
        <v>-32167980</v>
      </c>
      <c r="H108" s="510"/>
    </row>
    <row r="109" spans="1:8">
      <c r="A109" s="429">
        <v>15</v>
      </c>
      <c r="B109" s="430" t="s">
        <v>563</v>
      </c>
      <c r="C109" s="934">
        <v>-840147375</v>
      </c>
      <c r="D109" s="934">
        <v>-785703068</v>
      </c>
      <c r="E109" s="934">
        <v>-42336396</v>
      </c>
      <c r="F109" s="934">
        <v>-12107911</v>
      </c>
      <c r="G109" s="934">
        <v>0</v>
      </c>
      <c r="H109" s="932"/>
    </row>
    <row r="110" spans="1:8">
      <c r="A110" s="429">
        <v>16</v>
      </c>
      <c r="B110" s="430" t="s">
        <v>564</v>
      </c>
      <c r="C110" s="934"/>
      <c r="D110" s="934"/>
      <c r="E110" s="934"/>
      <c r="F110" s="934"/>
      <c r="G110" s="934"/>
      <c r="H110" s="943"/>
    </row>
    <row r="111" spans="1:8">
      <c r="A111" s="429">
        <v>17</v>
      </c>
      <c r="B111" s="430" t="s">
        <v>1096</v>
      </c>
      <c r="C111" s="511">
        <f>+C108-C109-C110</f>
        <v>-785416583</v>
      </c>
      <c r="D111" s="511">
        <f>+D108-D109-D110</f>
        <v>-541068142</v>
      </c>
      <c r="E111" s="511">
        <f>+E108-E109-E110</f>
        <v>-212180461</v>
      </c>
      <c r="F111" s="511">
        <f>+F108-F109-F110</f>
        <v>0</v>
      </c>
      <c r="G111" s="511">
        <f>+G108-G109-G110</f>
        <v>-32167980</v>
      </c>
      <c r="H111" s="512"/>
    </row>
    <row r="112" spans="1:8">
      <c r="B112" s="434"/>
      <c r="C112" s="463"/>
      <c r="D112" s="463"/>
      <c r="E112" s="463"/>
      <c r="F112" s="463"/>
      <c r="G112" s="414"/>
      <c r="H112" s="513"/>
    </row>
    <row r="113" spans="1:8" ht="14.5" thickBot="1">
      <c r="B113" s="434"/>
      <c r="C113" s="435"/>
      <c r="D113" s="414"/>
      <c r="E113" s="414"/>
      <c r="F113" s="414"/>
      <c r="G113" s="436"/>
      <c r="H113" s="514"/>
    </row>
    <row r="114" spans="1:8">
      <c r="A114" s="429">
        <v>18</v>
      </c>
      <c r="B114" s="465" t="s">
        <v>581</v>
      </c>
      <c r="C114" s="466"/>
      <c r="D114" s="467"/>
      <c r="E114" s="467"/>
      <c r="F114" s="467"/>
      <c r="G114" s="468"/>
      <c r="H114" s="515"/>
    </row>
    <row r="115" spans="1:8">
      <c r="A115" s="429">
        <v>19</v>
      </c>
      <c r="B115" s="443" t="s">
        <v>566</v>
      </c>
      <c r="C115" s="470"/>
      <c r="D115" s="456"/>
      <c r="E115" s="456"/>
      <c r="F115" s="456"/>
      <c r="G115" s="456"/>
      <c r="H115" s="475"/>
    </row>
    <row r="116" spans="1:8">
      <c r="A116" s="429">
        <v>20</v>
      </c>
      <c r="B116" s="443" t="s">
        <v>567</v>
      </c>
      <c r="C116" s="445"/>
      <c r="D116" s="414"/>
      <c r="E116" s="414"/>
      <c r="F116" s="414"/>
      <c r="G116" s="436"/>
      <c r="H116" s="516"/>
    </row>
    <row r="117" spans="1:8">
      <c r="A117" s="429">
        <v>21</v>
      </c>
      <c r="B117" s="443" t="s">
        <v>568</v>
      </c>
      <c r="C117" s="445"/>
      <c r="D117" s="414"/>
      <c r="E117" s="414"/>
      <c r="F117" s="414"/>
      <c r="G117" s="436"/>
      <c r="H117" s="516"/>
    </row>
    <row r="118" spans="1:8">
      <c r="A118" s="429">
        <v>22</v>
      </c>
      <c r="B118" s="443" t="s">
        <v>569</v>
      </c>
      <c r="C118" s="445"/>
      <c r="D118" s="414"/>
      <c r="E118" s="414"/>
      <c r="F118" s="414"/>
      <c r="G118" s="436"/>
      <c r="H118" s="516"/>
    </row>
    <row r="119" spans="1:8">
      <c r="A119" s="429">
        <v>23</v>
      </c>
      <c r="B119" s="447" t="s">
        <v>570</v>
      </c>
      <c r="C119" s="473"/>
      <c r="D119" s="474"/>
      <c r="E119" s="474"/>
      <c r="F119" s="474"/>
      <c r="G119" s="474"/>
      <c r="H119" s="475"/>
    </row>
    <row r="120" spans="1:8">
      <c r="A120" s="429">
        <v>24</v>
      </c>
      <c r="B120" s="448" t="s">
        <v>571</v>
      </c>
      <c r="C120" s="474"/>
      <c r="D120" s="474"/>
      <c r="E120" s="474"/>
      <c r="F120" s="474"/>
      <c r="G120" s="474"/>
      <c r="H120" s="475"/>
    </row>
    <row r="121" spans="1:8" ht="14.5" thickBot="1">
      <c r="B121" s="517"/>
      <c r="C121" s="476"/>
      <c r="D121" s="477"/>
      <c r="E121" s="477"/>
      <c r="F121" s="477"/>
      <c r="G121" s="478"/>
      <c r="H121" s="518"/>
    </row>
    <row r="122" spans="1:8">
      <c r="B122" s="1134" t="str">
        <f>'4A - ADIT Summary'!$G$65</f>
        <v>PECO Energy Company</v>
      </c>
      <c r="C122" s="1135"/>
      <c r="D122" s="1135"/>
      <c r="E122" s="1135"/>
      <c r="F122" s="1135"/>
      <c r="G122" s="1135"/>
      <c r="H122" s="1135"/>
    </row>
    <row r="123" spans="1:8" ht="15.5">
      <c r="B123" s="412" t="s">
        <v>617</v>
      </c>
      <c r="C123" s="412"/>
      <c r="D123" s="412"/>
      <c r="E123" s="412"/>
      <c r="F123" s="412"/>
      <c r="G123" s="412"/>
      <c r="H123" s="506"/>
    </row>
    <row r="124" spans="1:8">
      <c r="B124" s="412"/>
      <c r="C124" s="519"/>
      <c r="D124" s="519"/>
      <c r="E124" s="519"/>
      <c r="F124" s="519"/>
      <c r="G124" s="519"/>
      <c r="H124" s="507"/>
    </row>
    <row r="125" spans="1:8">
      <c r="B125" s="519"/>
      <c r="C125" s="519"/>
      <c r="D125" s="519"/>
      <c r="E125" s="519"/>
      <c r="F125" s="519"/>
      <c r="G125" s="519"/>
      <c r="H125" s="486" t="s">
        <v>617</v>
      </c>
    </row>
    <row r="126" spans="1:8">
      <c r="B126" s="519"/>
      <c r="C126" s="519"/>
      <c r="D126" s="519"/>
      <c r="E126" s="519"/>
      <c r="F126" s="519"/>
      <c r="G126" s="519"/>
      <c r="H126" s="486" t="s">
        <v>582</v>
      </c>
    </row>
    <row r="127" spans="1:8">
      <c r="B127" s="434"/>
      <c r="C127" s="435"/>
      <c r="D127" s="414"/>
      <c r="E127" s="414"/>
      <c r="F127" s="414"/>
      <c r="G127" s="436"/>
      <c r="H127" s="514"/>
    </row>
    <row r="128" spans="1:8">
      <c r="B128" s="457" t="s">
        <v>58</v>
      </c>
      <c r="C128" s="418" t="s">
        <v>59</v>
      </c>
      <c r="D128" s="455" t="s">
        <v>60</v>
      </c>
      <c r="E128" s="455" t="s">
        <v>61</v>
      </c>
      <c r="F128" s="455" t="s">
        <v>62</v>
      </c>
      <c r="G128" s="455" t="s">
        <v>63</v>
      </c>
      <c r="H128" s="509" t="s">
        <v>64</v>
      </c>
    </row>
    <row r="129" spans="1:12" ht="14.5">
      <c r="B129" s="420" t="s">
        <v>1388</v>
      </c>
      <c r="C129" s="419" t="s">
        <v>13</v>
      </c>
      <c r="D129" s="419" t="s">
        <v>504</v>
      </c>
      <c r="E129" s="413" t="s">
        <v>492</v>
      </c>
      <c r="F129" s="413"/>
      <c r="G129" s="413"/>
      <c r="H129" s="487"/>
    </row>
    <row r="130" spans="1:12" ht="14.5">
      <c r="B130" s="412"/>
      <c r="C130" s="419"/>
      <c r="D130" s="419" t="s">
        <v>505</v>
      </c>
      <c r="E130" s="413" t="s">
        <v>17</v>
      </c>
      <c r="F130" s="413" t="s">
        <v>506</v>
      </c>
      <c r="G130" s="413" t="s">
        <v>459</v>
      </c>
      <c r="H130" s="487"/>
    </row>
    <row r="131" spans="1:12" ht="14.5">
      <c r="B131" s="459"/>
      <c r="C131" s="460"/>
      <c r="D131" s="419" t="s">
        <v>467</v>
      </c>
      <c r="E131" s="413" t="s">
        <v>467</v>
      </c>
      <c r="F131" s="413" t="s">
        <v>467</v>
      </c>
      <c r="G131" s="413" t="s">
        <v>467</v>
      </c>
      <c r="H131" s="508" t="s">
        <v>507</v>
      </c>
    </row>
    <row r="132" spans="1:12">
      <c r="B132" s="459"/>
      <c r="C132" s="460"/>
      <c r="D132" s="414"/>
      <c r="E132" s="414"/>
      <c r="F132" s="414"/>
      <c r="G132" s="414"/>
      <c r="H132" s="474"/>
    </row>
    <row r="133" spans="1:12">
      <c r="B133" s="459"/>
      <c r="C133" s="460"/>
      <c r="D133" s="414"/>
      <c r="E133" s="414"/>
      <c r="F133" s="414"/>
      <c r="G133" s="414"/>
      <c r="H133" s="487"/>
    </row>
    <row r="134" spans="1:12">
      <c r="A134" s="410" t="s">
        <v>583</v>
      </c>
      <c r="B134" s="992" t="s">
        <v>1599</v>
      </c>
      <c r="C134" s="924">
        <v>-2179550.87</v>
      </c>
      <c r="D134" s="924">
        <v>-2179550.87</v>
      </c>
      <c r="E134" s="924">
        <v>0</v>
      </c>
      <c r="F134" s="924">
        <v>0</v>
      </c>
      <c r="G134" s="924">
        <v>0</v>
      </c>
      <c r="H134" s="995" t="s">
        <v>899</v>
      </c>
    </row>
    <row r="135" spans="1:12">
      <c r="A135" s="410" t="s">
        <v>584</v>
      </c>
      <c r="B135" s="992" t="s">
        <v>1600</v>
      </c>
      <c r="C135" s="924">
        <v>-9704485.4199999999</v>
      </c>
      <c r="D135" s="924">
        <v>-9704485.4199999999</v>
      </c>
      <c r="E135" s="924">
        <v>0</v>
      </c>
      <c r="F135" s="924">
        <v>0</v>
      </c>
      <c r="G135" s="924">
        <v>0</v>
      </c>
      <c r="H135" s="995" t="s">
        <v>899</v>
      </c>
      <c r="L135" s="497"/>
    </row>
    <row r="136" spans="1:12">
      <c r="A136" s="410" t="s">
        <v>585</v>
      </c>
      <c r="B136" s="992" t="s">
        <v>1601</v>
      </c>
      <c r="C136" s="924">
        <v>-466965.77</v>
      </c>
      <c r="D136" s="924">
        <v>-466965.77</v>
      </c>
      <c r="E136" s="924">
        <v>0</v>
      </c>
      <c r="F136" s="924">
        <v>0</v>
      </c>
      <c r="G136" s="924">
        <v>0</v>
      </c>
      <c r="H136" s="995" t="s">
        <v>899</v>
      </c>
      <c r="L136" s="497"/>
    </row>
    <row r="137" spans="1:12">
      <c r="A137" s="429" t="s">
        <v>586</v>
      </c>
      <c r="B137" s="992" t="s">
        <v>1602</v>
      </c>
      <c r="C137" s="924">
        <v>-320462.83207995998</v>
      </c>
      <c r="D137" s="924">
        <v>-320462.83207995998</v>
      </c>
      <c r="E137" s="924">
        <v>0</v>
      </c>
      <c r="F137" s="924">
        <v>0</v>
      </c>
      <c r="G137" s="924">
        <v>0</v>
      </c>
      <c r="H137" s="995" t="s">
        <v>899</v>
      </c>
    </row>
    <row r="138" spans="1:12">
      <c r="A138" s="429" t="s">
        <v>587</v>
      </c>
      <c r="B138" s="992" t="s">
        <v>1764</v>
      </c>
      <c r="C138" s="924">
        <v>-5454344.3784184502</v>
      </c>
      <c r="D138" s="924">
        <v>-5454344.3784184502</v>
      </c>
      <c r="E138" s="924">
        <v>0</v>
      </c>
      <c r="F138" s="924">
        <v>0</v>
      </c>
      <c r="G138" s="924">
        <v>0</v>
      </c>
      <c r="H138" s="995" t="s">
        <v>899</v>
      </c>
    </row>
    <row r="139" spans="1:12">
      <c r="A139" s="429" t="s">
        <v>588</v>
      </c>
      <c r="B139" s="992" t="s">
        <v>1604</v>
      </c>
      <c r="C139" s="924">
        <v>-16</v>
      </c>
      <c r="D139" s="924">
        <v>-16</v>
      </c>
      <c r="E139" s="924">
        <v>0</v>
      </c>
      <c r="F139" s="924">
        <v>0</v>
      </c>
      <c r="G139" s="924">
        <v>0</v>
      </c>
      <c r="H139" s="995" t="s">
        <v>899</v>
      </c>
    </row>
    <row r="140" spans="1:12" ht="14.25" customHeight="1">
      <c r="A140" s="429" t="s">
        <v>589</v>
      </c>
      <c r="B140" s="992" t="s">
        <v>1607</v>
      </c>
      <c r="C140" s="924">
        <v>-4579652.9179999996</v>
      </c>
      <c r="D140" s="924">
        <v>-4579652.9179999996</v>
      </c>
      <c r="E140" s="924">
        <v>0</v>
      </c>
      <c r="F140" s="924">
        <v>0</v>
      </c>
      <c r="G140" s="924">
        <v>0</v>
      </c>
      <c r="H140" s="995" t="s">
        <v>899</v>
      </c>
    </row>
    <row r="141" spans="1:12">
      <c r="A141" s="429" t="s">
        <v>590</v>
      </c>
      <c r="B141" s="992" t="s">
        <v>1608</v>
      </c>
      <c r="C141" s="924">
        <v>-6167317</v>
      </c>
      <c r="D141" s="924">
        <v>-6167317</v>
      </c>
      <c r="E141" s="924">
        <v>0</v>
      </c>
      <c r="F141" s="924">
        <v>0</v>
      </c>
      <c r="G141" s="924">
        <v>0</v>
      </c>
      <c r="H141" s="995" t="s">
        <v>899</v>
      </c>
    </row>
    <row r="142" spans="1:12">
      <c r="A142" s="429" t="s">
        <v>591</v>
      </c>
      <c r="B142" s="992" t="s">
        <v>1609</v>
      </c>
      <c r="C142" s="924">
        <v>-1573065.1950970294</v>
      </c>
      <c r="D142" s="924">
        <v>-1573065.1950970294</v>
      </c>
      <c r="E142" s="924">
        <v>0</v>
      </c>
      <c r="F142" s="924">
        <v>0</v>
      </c>
      <c r="G142" s="924">
        <v>0</v>
      </c>
      <c r="H142" s="995" t="s">
        <v>899</v>
      </c>
    </row>
    <row r="143" spans="1:12">
      <c r="A143" s="429" t="s">
        <v>592</v>
      </c>
      <c r="B143" s="992" t="s">
        <v>1610</v>
      </c>
      <c r="C143" s="924">
        <v>-233202.00999999998</v>
      </c>
      <c r="D143" s="924">
        <v>0</v>
      </c>
      <c r="E143" s="924">
        <v>0</v>
      </c>
      <c r="F143" s="924">
        <v>-233202.00999999998</v>
      </c>
      <c r="G143" s="924">
        <v>0</v>
      </c>
      <c r="H143" s="995" t="s">
        <v>877</v>
      </c>
    </row>
    <row r="144" spans="1:12">
      <c r="A144" s="429" t="s">
        <v>593</v>
      </c>
      <c r="B144" s="992" t="s">
        <v>1611</v>
      </c>
      <c r="C144" s="924">
        <v>2810.6900000000169</v>
      </c>
      <c r="D144" s="924">
        <v>0</v>
      </c>
      <c r="E144" s="924">
        <v>0</v>
      </c>
      <c r="F144" s="924">
        <v>0</v>
      </c>
      <c r="G144" s="924">
        <v>2810.6900000000169</v>
      </c>
      <c r="H144" s="995" t="s">
        <v>905</v>
      </c>
    </row>
    <row r="145" spans="1:8" ht="28">
      <c r="A145" s="429" t="s">
        <v>594</v>
      </c>
      <c r="B145" s="992" t="s">
        <v>909</v>
      </c>
      <c r="C145" s="924">
        <v>-111533.14440455992</v>
      </c>
      <c r="D145" s="924">
        <v>0</v>
      </c>
      <c r="E145" s="924">
        <v>0</v>
      </c>
      <c r="F145" s="924">
        <v>-111533.14440455992</v>
      </c>
      <c r="G145" s="924">
        <v>0</v>
      </c>
      <c r="H145" s="995" t="s">
        <v>1615</v>
      </c>
    </row>
    <row r="146" spans="1:8" ht="28">
      <c r="A146" s="429" t="s">
        <v>595</v>
      </c>
      <c r="B146" s="992" t="s">
        <v>1698</v>
      </c>
      <c r="C146" s="924">
        <v>-98526683.519999996</v>
      </c>
      <c r="D146" s="924">
        <v>0</v>
      </c>
      <c r="E146" s="924">
        <v>0</v>
      </c>
      <c r="F146" s="924">
        <v>0</v>
      </c>
      <c r="G146" s="924">
        <v>-98526683.519999996</v>
      </c>
      <c r="H146" s="995" t="s">
        <v>897</v>
      </c>
    </row>
    <row r="147" spans="1:8">
      <c r="A147" s="429" t="s">
        <v>596</v>
      </c>
      <c r="B147" s="992" t="s">
        <v>1612</v>
      </c>
      <c r="C147" s="924">
        <v>-2308742.83</v>
      </c>
      <c r="D147" s="924">
        <v>0</v>
      </c>
      <c r="E147" s="924">
        <v>0</v>
      </c>
      <c r="F147" s="924">
        <v>-2308742.83</v>
      </c>
      <c r="G147" s="924">
        <v>0</v>
      </c>
      <c r="H147" s="995" t="s">
        <v>1616</v>
      </c>
    </row>
    <row r="148" spans="1:8">
      <c r="A148" s="429" t="s">
        <v>597</v>
      </c>
      <c r="B148" s="992" t="s">
        <v>1613</v>
      </c>
      <c r="C148" s="924">
        <v>-2705335.85</v>
      </c>
      <c r="D148" s="924">
        <v>0</v>
      </c>
      <c r="E148" s="924">
        <v>0</v>
      </c>
      <c r="F148" s="924">
        <v>-2705335.85</v>
      </c>
      <c r="G148" s="924">
        <v>0</v>
      </c>
      <c r="H148" s="995" t="s">
        <v>1617</v>
      </c>
    </row>
    <row r="149" spans="1:8">
      <c r="A149" s="429" t="s">
        <v>598</v>
      </c>
      <c r="B149" s="992" t="s">
        <v>1614</v>
      </c>
      <c r="C149" s="924">
        <v>-179893092.14535105</v>
      </c>
      <c r="D149" s="924">
        <v>0</v>
      </c>
      <c r="E149" s="924">
        <v>0</v>
      </c>
      <c r="F149" s="924">
        <v>-179893092.14535105</v>
      </c>
      <c r="G149" s="924">
        <v>0</v>
      </c>
      <c r="H149" s="995" t="s">
        <v>1626</v>
      </c>
    </row>
    <row r="150" spans="1:8">
      <c r="A150" s="429" t="s">
        <v>599</v>
      </c>
      <c r="B150" s="996"/>
      <c r="C150" s="924">
        <v>0</v>
      </c>
      <c r="D150" s="924">
        <v>0</v>
      </c>
      <c r="E150" s="924">
        <v>0</v>
      </c>
      <c r="F150" s="924">
        <v>0</v>
      </c>
      <c r="G150" s="924">
        <v>0</v>
      </c>
      <c r="H150" s="995"/>
    </row>
    <row r="151" spans="1:8" ht="27.75" customHeight="1">
      <c r="A151" s="429" t="s">
        <v>600</v>
      </c>
      <c r="B151" s="996"/>
      <c r="C151" s="924">
        <v>0</v>
      </c>
      <c r="D151" s="924">
        <v>0</v>
      </c>
      <c r="E151" s="924">
        <v>0</v>
      </c>
      <c r="F151" s="924">
        <v>0</v>
      </c>
      <c r="G151" s="924">
        <v>0</v>
      </c>
      <c r="H151" s="995"/>
    </row>
    <row r="152" spans="1:8" ht="14.5">
      <c r="A152" s="429" t="s">
        <v>601</v>
      </c>
      <c r="B152" s="944"/>
      <c r="C152" s="924"/>
      <c r="D152" s="924"/>
      <c r="E152" s="924"/>
      <c r="F152" s="924"/>
      <c r="G152" s="924"/>
      <c r="H152" s="931"/>
    </row>
    <row r="153" spans="1:8" ht="14.5">
      <c r="A153" s="429" t="s">
        <v>602</v>
      </c>
      <c r="B153" s="944"/>
      <c r="C153" s="924"/>
      <c r="D153" s="924"/>
      <c r="E153" s="924"/>
      <c r="F153" s="924"/>
      <c r="G153" s="924"/>
      <c r="H153" s="931"/>
    </row>
    <row r="154" spans="1:8" ht="14.5">
      <c r="A154" s="429" t="s">
        <v>603</v>
      </c>
      <c r="B154" s="944"/>
      <c r="C154" s="924"/>
      <c r="D154" s="924"/>
      <c r="E154" s="924"/>
      <c r="F154" s="924"/>
      <c r="G154" s="924"/>
      <c r="H154" s="931"/>
    </row>
    <row r="155" spans="1:8" ht="14.5">
      <c r="A155" s="429" t="s">
        <v>604</v>
      </c>
      <c r="B155" s="944"/>
      <c r="C155" s="924"/>
      <c r="D155" s="924"/>
      <c r="E155" s="924"/>
      <c r="F155" s="924"/>
      <c r="G155" s="924"/>
      <c r="H155" s="931"/>
    </row>
    <row r="156" spans="1:8" ht="14.5">
      <c r="A156" s="429" t="s">
        <v>605</v>
      </c>
      <c r="B156" s="944"/>
      <c r="C156" s="924"/>
      <c r="D156" s="924"/>
      <c r="E156" s="924"/>
      <c r="F156" s="924"/>
      <c r="G156" s="924"/>
      <c r="H156" s="931"/>
    </row>
    <row r="157" spans="1:8" ht="14.5">
      <c r="A157" s="429" t="s">
        <v>606</v>
      </c>
      <c r="B157" s="944"/>
      <c r="C157" s="924"/>
      <c r="D157" s="924"/>
      <c r="E157" s="924"/>
      <c r="F157" s="924"/>
      <c r="G157" s="924"/>
      <c r="H157" s="931"/>
    </row>
    <row r="158" spans="1:8" ht="14.5">
      <c r="A158" s="429" t="s">
        <v>607</v>
      </c>
      <c r="B158" s="944"/>
      <c r="C158" s="924"/>
      <c r="D158" s="924"/>
      <c r="E158" s="924"/>
      <c r="F158" s="924"/>
      <c r="G158" s="924"/>
      <c r="H158" s="931"/>
    </row>
    <row r="159" spans="1:8" ht="14.5">
      <c r="A159" s="429" t="s">
        <v>608</v>
      </c>
      <c r="B159" s="944"/>
      <c r="C159" s="924"/>
      <c r="D159" s="924"/>
      <c r="E159" s="924"/>
      <c r="F159" s="924"/>
      <c r="G159" s="924"/>
      <c r="H159" s="931"/>
    </row>
    <row r="160" spans="1:8" ht="14.5">
      <c r="A160" s="429" t="s">
        <v>609</v>
      </c>
      <c r="B160" s="944"/>
      <c r="C160" s="924"/>
      <c r="D160" s="924"/>
      <c r="E160" s="924"/>
      <c r="F160" s="924"/>
      <c r="G160" s="924"/>
      <c r="H160" s="945"/>
    </row>
    <row r="161" spans="1:10">
      <c r="A161" s="429" t="s">
        <v>610</v>
      </c>
      <c r="B161" s="935"/>
      <c r="C161" s="924"/>
      <c r="D161" s="924"/>
      <c r="E161" s="924"/>
      <c r="F161" s="924"/>
      <c r="G161" s="924"/>
      <c r="H161" s="931"/>
    </row>
    <row r="162" spans="1:10">
      <c r="A162" s="429" t="s">
        <v>611</v>
      </c>
      <c r="B162" s="935"/>
      <c r="C162" s="924"/>
      <c r="D162" s="924"/>
      <c r="E162" s="924"/>
      <c r="F162" s="924"/>
      <c r="G162" s="924"/>
      <c r="H162" s="946"/>
    </row>
    <row r="163" spans="1:10">
      <c r="A163" s="429" t="s">
        <v>612</v>
      </c>
      <c r="B163" s="935"/>
      <c r="C163" s="924"/>
      <c r="D163" s="924"/>
      <c r="E163" s="924"/>
      <c r="F163" s="924"/>
      <c r="G163" s="924"/>
      <c r="H163" s="931"/>
    </row>
    <row r="164" spans="1:10">
      <c r="A164" s="429" t="s">
        <v>613</v>
      </c>
      <c r="B164" s="937"/>
      <c r="C164" s="924"/>
      <c r="D164" s="924"/>
      <c r="E164" s="924"/>
      <c r="F164" s="924"/>
      <c r="G164" s="924"/>
      <c r="H164" s="947"/>
    </row>
    <row r="165" spans="1:10">
      <c r="A165" s="410" t="s">
        <v>614</v>
      </c>
      <c r="B165" s="933"/>
      <c r="C165" s="924"/>
      <c r="D165" s="924"/>
      <c r="E165" s="924"/>
      <c r="F165" s="924"/>
      <c r="G165" s="924"/>
      <c r="H165" s="948"/>
    </row>
    <row r="166" spans="1:10">
      <c r="A166" s="410" t="s">
        <v>615</v>
      </c>
      <c r="B166" s="933"/>
      <c r="C166" s="924"/>
      <c r="D166" s="924"/>
      <c r="E166" s="924"/>
      <c r="F166" s="924"/>
      <c r="G166" s="924"/>
      <c r="H166" s="947"/>
    </row>
    <row r="167" spans="1:10">
      <c r="A167" s="429" t="s">
        <v>615</v>
      </c>
      <c r="B167" s="933"/>
      <c r="C167" s="924"/>
      <c r="D167" s="924"/>
      <c r="E167" s="924"/>
      <c r="F167" s="924"/>
      <c r="G167" s="924"/>
      <c r="H167" s="945"/>
    </row>
    <row r="168" spans="1:10">
      <c r="A168" s="410">
        <v>26</v>
      </c>
      <c r="B168" s="430" t="s">
        <v>1000</v>
      </c>
      <c r="C168" s="520">
        <f>SUM(C134:C167)</f>
        <v>-314221639.19335103</v>
      </c>
      <c r="D168" s="520">
        <f>SUM(D134:D167)</f>
        <v>-30445860.383595437</v>
      </c>
      <c r="E168" s="520">
        <f>SUM(E131:E167)</f>
        <v>0</v>
      </c>
      <c r="F168" s="520">
        <f>SUM(F131:F167)</f>
        <v>-185251905.97975561</v>
      </c>
      <c r="G168" s="520">
        <f>SUM(G131:G167)</f>
        <v>-98523872.829999998</v>
      </c>
      <c r="H168" s="521"/>
      <c r="J168" s="433"/>
    </row>
    <row r="169" spans="1:10">
      <c r="A169" s="410">
        <v>27</v>
      </c>
      <c r="B169" s="430" t="s">
        <v>563</v>
      </c>
      <c r="C169" s="934">
        <v>-179893092.14535105</v>
      </c>
      <c r="D169" s="934">
        <v>0</v>
      </c>
      <c r="E169" s="934">
        <v>0</v>
      </c>
      <c r="F169" s="934">
        <v>-179893092.14535105</v>
      </c>
      <c r="G169" s="934">
        <v>0</v>
      </c>
      <c r="H169" s="525"/>
    </row>
    <row r="170" spans="1:10">
      <c r="A170" s="410">
        <v>28</v>
      </c>
      <c r="B170" s="430" t="s">
        <v>564</v>
      </c>
      <c r="C170" s="934"/>
      <c r="D170" s="934">
        <v>0</v>
      </c>
      <c r="E170" s="934">
        <v>0</v>
      </c>
      <c r="F170" s="949"/>
      <c r="G170" s="949"/>
      <c r="H170" s="945"/>
    </row>
    <row r="171" spans="1:10">
      <c r="A171" s="429">
        <v>29</v>
      </c>
      <c r="B171" s="430" t="s">
        <v>13</v>
      </c>
      <c r="C171" s="520">
        <f>C168-C169-C170</f>
        <v>-134328547.04799998</v>
      </c>
      <c r="D171" s="520">
        <f>+D168-D169-D170</f>
        <v>-30445860.383595437</v>
      </c>
      <c r="E171" s="520">
        <f>+E168-E169-E170</f>
        <v>0</v>
      </c>
      <c r="F171" s="520">
        <f>+F168-F169-F170</f>
        <v>-5358813.8344045579</v>
      </c>
      <c r="G171" s="520">
        <f>+G168-G169-G170</f>
        <v>-98523872.829999998</v>
      </c>
      <c r="H171" s="521"/>
    </row>
    <row r="172" spans="1:10" ht="14.5" thickBot="1">
      <c r="A172" s="429"/>
      <c r="B172" s="434"/>
      <c r="C172" s="483"/>
      <c r="D172" s="483"/>
      <c r="E172" s="483"/>
      <c r="F172" s="483"/>
      <c r="G172" s="483"/>
      <c r="H172" s="522"/>
    </row>
    <row r="173" spans="1:10">
      <c r="A173" s="429">
        <v>30</v>
      </c>
      <c r="B173" s="465" t="s">
        <v>616</v>
      </c>
    </row>
    <row r="174" spans="1:10">
      <c r="A174" s="429">
        <v>31</v>
      </c>
      <c r="B174" s="443" t="s">
        <v>566</v>
      </c>
    </row>
    <row r="175" spans="1:10">
      <c r="A175" s="429">
        <v>32</v>
      </c>
      <c r="B175" s="443" t="s">
        <v>567</v>
      </c>
      <c r="C175" s="405"/>
    </row>
    <row r="176" spans="1:10">
      <c r="A176" s="429">
        <v>33</v>
      </c>
      <c r="B176" s="443" t="s">
        <v>568</v>
      </c>
    </row>
    <row r="177" spans="1:2">
      <c r="A177" s="429">
        <v>34</v>
      </c>
      <c r="B177" s="443" t="s">
        <v>569</v>
      </c>
    </row>
    <row r="178" spans="1:2">
      <c r="A178" s="429">
        <v>35</v>
      </c>
      <c r="B178" s="447" t="s">
        <v>570</v>
      </c>
    </row>
    <row r="179" spans="1:2">
      <c r="A179" s="429">
        <v>36</v>
      </c>
      <c r="B179" s="448" t="s">
        <v>571</v>
      </c>
    </row>
    <row r="180" spans="1:2">
      <c r="A180" s="429"/>
    </row>
  </sheetData>
  <mergeCells count="4">
    <mergeCell ref="B1:H1"/>
    <mergeCell ref="B86:H86"/>
    <mergeCell ref="B122:H122"/>
    <mergeCell ref="B2:H2"/>
  </mergeCells>
  <pageMargins left="0.7" right="0.7" top="0.75" bottom="0.75" header="0.3" footer="0.3"/>
  <pageSetup scale="40" fitToHeight="0" orientation="landscape" r:id="rId1"/>
  <rowBreaks count="2" manualBreakCount="2">
    <brk id="85" max="16383" man="1"/>
    <brk id="121" max="16383" man="1"/>
  </rowBreaks>
  <ignoredErrors>
    <ignoredError sqref="C167:G168 C108:G108 C60:G73 C75:G75 C110:G110 F107:G10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5C - Other Taxes</vt:lpstr>
      <vt:lpstr>6-True-Up Interest</vt:lpstr>
      <vt:lpstr>7 - PBOP</vt:lpstr>
      <vt:lpstr>8 - Depreciation Rates</vt:lpstr>
      <vt:lpstr>9 - EDIT</vt:lpstr>
      <vt:lpstr>9A - ADIT Remeasurement</vt:lpstr>
      <vt:lpstr>10 - Pension Asset Discount</vt:lpstr>
      <vt:lpstr>11 - Cost of Capital</vt:lpstr>
      <vt:lpstr>'1-Project Rev Req'!Print_Area</vt:lpstr>
      <vt:lpstr>'2-Incentive ROE'!Print_Area</vt:lpstr>
      <vt:lpstr>'4- Rate Base'!Print_Area</vt:lpstr>
      <vt:lpstr>'4A - ADIT Summary'!Print_Area</vt:lpstr>
      <vt:lpstr>'4B - ADIT BOY'!Print_Area</vt:lpstr>
      <vt:lpstr>'4D - Intangible Pnt'!Print_Area</vt:lpstr>
      <vt:lpstr>'4E COA'!Print_Area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Benjamin S:(PECO)</dc:creator>
  <cp:lastModifiedBy>Alvarez, Marianne M:(BSC)</cp:lastModifiedBy>
  <cp:lastPrinted>2022-05-25T14:09:47Z</cp:lastPrinted>
  <dcterms:created xsi:type="dcterms:W3CDTF">2019-04-12T17:49:11Z</dcterms:created>
  <dcterms:modified xsi:type="dcterms:W3CDTF">2022-05-27T12:07:47Z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2022-04-13T12:45:27Z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ffaea5c9-6a00-4097-824d-2b1eeb00e18d</vt:lpwstr>
  </property>
  <property fmtid="{D5CDD505-2E9C-101B-9397-08002B2CF9AE}" pid="8" name="MSIP_Label_c968b3d1-e05f-4796-9c23-acaf26d588cb_ContentBits">
    <vt:lpwstr>0</vt:lpwstr>
  </property>
  <property fmtid="{D5CDD505-2E9C-101B-9397-08002B2CF9AE}" pid="9" name="eDOCS AutoSave">
    <vt:lpwstr>20220525101011738</vt:lpwstr>
  </property>
</Properties>
</file>